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tables/table9.xml" ContentType="application/vnd.openxmlformats-officedocument.spreadsheetml.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tables/table10.xml" ContentType="application/vnd.openxmlformats-officedocument.spreadsheetml.table+xml"/>
  <Override PartName="/xl/drawings/drawing19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60" windowWidth="14412" windowHeight="8688" tabRatio="695" activeTab="1"/>
  </bookViews>
  <sheets>
    <sheet name="Parameters" sheetId="2" r:id="rId1"/>
    <sheet name="Project" sheetId="1" r:id="rId2"/>
    <sheet name="Assessment" sheetId="3" r:id="rId3"/>
    <sheet name="Polling" sheetId="4" r:id="rId4"/>
    <sheet name="Allocation" sheetId="5" r:id="rId5"/>
    <sheet name="Landslide" sheetId="7" r:id="rId6"/>
    <sheet name="Surge" sheetId="8" r:id="rId7"/>
    <sheet name="Wind" sheetId="9" r:id="rId8"/>
    <sheet name="Flood" sheetId="10" r:id="rId9"/>
    <sheet name="Scour1" sheetId="11" r:id="rId10"/>
    <sheet name="Scour2" sheetId="12" r:id="rId11"/>
    <sheet name="Wildfire" sheetId="13" r:id="rId12"/>
    <sheet name="Temperature" sheetId="15" r:id="rId13"/>
    <sheet name="Permafrost" sheetId="16" r:id="rId14"/>
    <sheet name="Overload" sheetId="17" r:id="rId15"/>
    <sheet name="Overheight" sheetId="18" r:id="rId16"/>
    <sheet name="Vehicle" sheetId="19" r:id="rId17"/>
    <sheet name="Vessel" sheetId="20" r:id="rId18"/>
    <sheet name="Deterioration" sheetId="21" r:id="rId19"/>
    <sheet name="Cost" sheetId="27" r:id="rId20"/>
    <sheet name="Fatigue" sheetId="22" r:id="rId21"/>
    <sheet name="Safety" sheetId="23" r:id="rId22"/>
    <sheet name="Mobility" sheetId="24" r:id="rId23"/>
    <sheet name="Environ" sheetId="25" r:id="rId24"/>
    <sheet name="Earthquake" sheetId="26" r:id="rId25"/>
    <sheet name="Sheet1" sheetId="28" r:id="rId26"/>
  </sheets>
  <definedNames>
    <definedName name="ADTOn">Project!$D$13</definedName>
    <definedName name="ADTUnder">Project!$I$13</definedName>
    <definedName name="BridgeType">Cost!$I$27:$I$29</definedName>
    <definedName name="CritVulnerability">Project!$C$41:$F$41</definedName>
    <definedName name="CritWeight">Project!$C$39:$F$39</definedName>
    <definedName name="DeckArea">Project!$J$7</definedName>
    <definedName name="DetourOn">Project!$D$15</definedName>
    <definedName name="DetourUnder">Project!$I$15</definedName>
    <definedName name="DetSpeedOn">Project!$F$15</definedName>
    <definedName name="DetSpeedUnder">Project!$K$15</definedName>
    <definedName name="LengthOn">Project!$D$14</definedName>
    <definedName name="LengthUnder">Project!$I$14</definedName>
    <definedName name="MaxURC">Project!$K$37</definedName>
    <definedName name="ProgCost">Project!$J$9</definedName>
    <definedName name="ProjCritWeight" localSheetId="4">Project!#REF!</definedName>
    <definedName name="ProjCritWeight" localSheetId="18">Project!#REF!</definedName>
    <definedName name="ProjCritWeight" localSheetId="23">Project!#REF!</definedName>
    <definedName name="ProjCritWeight" localSheetId="20">Project!#REF!</definedName>
    <definedName name="ProjCritWeight" localSheetId="8">Project!#REF!</definedName>
    <definedName name="ProjCritWeight" localSheetId="5">Project!#REF!</definedName>
    <definedName name="ProjCritWeight" localSheetId="22">Project!#REF!</definedName>
    <definedName name="ProjCritWeight" localSheetId="15">Project!#REF!</definedName>
    <definedName name="ProjCritWeight" localSheetId="14">Project!#REF!</definedName>
    <definedName name="ProjCritWeight" localSheetId="13">Project!#REF!</definedName>
    <definedName name="ProjCritWeight" localSheetId="3">Project!#REF!</definedName>
    <definedName name="ProjCritWeight" localSheetId="21">Project!#REF!</definedName>
    <definedName name="ProjCritWeight" localSheetId="9">Project!#REF!</definedName>
    <definedName name="ProjCritWeight" localSheetId="10">Project!#REF!</definedName>
    <definedName name="ProjCritWeight" localSheetId="6">Project!#REF!</definedName>
    <definedName name="ProjCritWeight" localSheetId="12">Project!#REF!</definedName>
    <definedName name="ProjCritWeight" localSheetId="16">Project!#REF!</definedName>
    <definedName name="ProjCritWeight" localSheetId="17">Project!#REF!</definedName>
    <definedName name="ProjCritWeight" localSheetId="11">Project!#REF!</definedName>
    <definedName name="ProjCritWeight" localSheetId="7">Project!#REF!</definedName>
    <definedName name="ProjCritWeight">Project!#REF!</definedName>
    <definedName name="SocialCost">Project!$C$40:$F$40</definedName>
    <definedName name="SpeedOn">Project!$F$14</definedName>
    <definedName name="SpeedUnder">Project!$K$14</definedName>
    <definedName name="StrucWeight">Project!$C$38:$F$38</definedName>
    <definedName name="SumProjVuln">Project!$AB$42:$AE$42</definedName>
    <definedName name="TrucksOn">Project!$F$13</definedName>
    <definedName name="TrucksUnder">Project!$K$13</definedName>
    <definedName name="Type">Cost!$I$27:$I$29</definedName>
    <definedName name="Vulnerability" localSheetId="4">Project!#REF!</definedName>
    <definedName name="Vulnerability" localSheetId="18">Project!#REF!</definedName>
    <definedName name="Vulnerability" localSheetId="23">Project!#REF!</definedName>
    <definedName name="Vulnerability" localSheetId="20">Project!#REF!</definedName>
    <definedName name="Vulnerability" localSheetId="8">Project!#REF!</definedName>
    <definedName name="Vulnerability" localSheetId="5">Project!#REF!</definedName>
    <definedName name="Vulnerability" localSheetId="22">Project!#REF!</definedName>
    <definedName name="Vulnerability" localSheetId="15">Project!#REF!</definedName>
    <definedName name="Vulnerability" localSheetId="14">Project!#REF!</definedName>
    <definedName name="Vulnerability" localSheetId="13">Project!#REF!</definedName>
    <definedName name="Vulnerability" localSheetId="3">Project!#REF!</definedName>
    <definedName name="Vulnerability" localSheetId="21">Project!#REF!</definedName>
    <definedName name="Vulnerability" localSheetId="9">Project!#REF!</definedName>
    <definedName name="Vulnerability" localSheetId="10">Project!#REF!</definedName>
    <definedName name="Vulnerability" localSheetId="6">Project!#REF!</definedName>
    <definedName name="Vulnerability" localSheetId="12">Project!#REF!</definedName>
    <definedName name="Vulnerability" localSheetId="16">Project!#REF!</definedName>
    <definedName name="Vulnerability" localSheetId="17">Project!#REF!</definedName>
    <definedName name="Vulnerability" localSheetId="11">Project!#REF!</definedName>
    <definedName name="Vulnerability" localSheetId="7">Project!#REF!</definedName>
    <definedName name="Vulnerability">Project!#REF!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7" l="1"/>
  <c r="E35" i="27"/>
  <c r="A35" i="27"/>
  <c r="A33" i="27"/>
  <c r="G33" i="27"/>
  <c r="E33" i="27"/>
  <c r="E23" i="27"/>
  <c r="E16" i="27" l="1"/>
  <c r="A21" i="27" l="1"/>
  <c r="A22" i="27" s="1"/>
  <c r="A23" i="27" s="1"/>
  <c r="A27" i="27" l="1"/>
  <c r="A28" i="27" s="1"/>
  <c r="A29" i="27" s="1"/>
  <c r="A30" i="27" s="1"/>
  <c r="A31" i="27" s="1"/>
  <c r="E33" i="26"/>
  <c r="A28" i="26"/>
  <c r="A29" i="26" s="1"/>
  <c r="A30" i="26" s="1"/>
  <c r="A31" i="26" s="1"/>
  <c r="E31" i="26"/>
  <c r="A32" i="26" l="1"/>
  <c r="A33" i="26" s="1"/>
  <c r="A34" i="26" s="1"/>
  <c r="F40" i="1"/>
  <c r="E40" i="1"/>
  <c r="D40" i="1"/>
  <c r="C40" i="1"/>
  <c r="K21" i="1"/>
  <c r="K22" i="1"/>
  <c r="K23" i="1"/>
  <c r="K24" i="1"/>
  <c r="K25" i="1"/>
  <c r="K26" i="1"/>
  <c r="K27" i="1"/>
  <c r="K28" i="1"/>
  <c r="K29" i="1"/>
  <c r="K30" i="1"/>
  <c r="E29" i="25" l="1"/>
  <c r="E30" i="25" s="1"/>
  <c r="E17" i="25"/>
  <c r="E18" i="25" s="1"/>
  <c r="E27" i="25" s="1"/>
  <c r="E31" i="24" l="1"/>
  <c r="E32" i="24" s="1"/>
  <c r="E17" i="24"/>
  <c r="E18" i="24" s="1"/>
  <c r="E29" i="24" s="1"/>
  <c r="E31" i="23"/>
  <c r="E17" i="23"/>
  <c r="E18" i="23" s="1"/>
  <c r="E27" i="23" s="1"/>
  <c r="E28" i="23" s="1"/>
  <c r="F31" i="22" l="1"/>
  <c r="F27" i="22"/>
  <c r="F40" i="22" s="1"/>
  <c r="F53" i="22" l="1"/>
  <c r="F50" i="22"/>
  <c r="F26" i="21"/>
  <c r="F16" i="21"/>
  <c r="F15" i="21"/>
  <c r="R37" i="21"/>
  <c r="R38" i="21"/>
  <c r="R39" i="21"/>
  <c r="Q37" i="21"/>
  <c r="Q38" i="21"/>
  <c r="Q39" i="21"/>
  <c r="P37" i="21"/>
  <c r="P38" i="21"/>
  <c r="P39" i="21"/>
  <c r="F54" i="22" l="1"/>
  <c r="V37" i="21"/>
  <c r="V38" i="21"/>
  <c r="V39" i="21"/>
  <c r="E30" i="20"/>
  <c r="D36" i="19"/>
  <c r="D35" i="19"/>
  <c r="D34" i="19"/>
  <c r="D33" i="19"/>
  <c r="E32" i="19"/>
  <c r="E24" i="19"/>
  <c r="G31" i="19"/>
  <c r="F31" i="19"/>
  <c r="G30" i="19"/>
  <c r="F30" i="19"/>
  <c r="F28" i="19"/>
  <c r="E28" i="19" s="1"/>
  <c r="E18" i="19"/>
  <c r="E20" i="19" s="1"/>
  <c r="E25" i="18"/>
  <c r="E18" i="18"/>
  <c r="E20" i="18" s="1"/>
  <c r="E25" i="17"/>
  <c r="E18" i="17"/>
  <c r="E20" i="17" s="1"/>
  <c r="E26" i="17" s="1"/>
  <c r="E31" i="16"/>
  <c r="D22" i="15"/>
  <c r="E22" i="15" s="1"/>
  <c r="D21" i="15"/>
  <c r="E21" i="15" s="1"/>
  <c r="E24" i="15" s="1"/>
  <c r="D22" i="13"/>
  <c r="E22" i="13" s="1"/>
  <c r="D21" i="13"/>
  <c r="E21" i="13" s="1"/>
  <c r="E24" i="13" s="1"/>
  <c r="E25" i="13" l="1"/>
  <c r="E26" i="18"/>
  <c r="F56" i="22"/>
  <c r="F51" i="22"/>
  <c r="V41" i="21"/>
  <c r="E38" i="19"/>
  <c r="E40" i="19" s="1"/>
  <c r="E25" i="15"/>
  <c r="D22" i="11"/>
  <c r="E22" i="11" s="1"/>
  <c r="D21" i="11"/>
  <c r="E21" i="11" s="1"/>
  <c r="E24" i="11" s="1"/>
  <c r="F13" i="21" l="1"/>
  <c r="F23" i="21" s="1"/>
  <c r="F22" i="21"/>
  <c r="F24" i="21"/>
  <c r="E25" i="11"/>
  <c r="F25" i="21" l="1"/>
  <c r="F31" i="21" s="1"/>
  <c r="D22" i="10"/>
  <c r="E22" i="10" s="1"/>
  <c r="D21" i="10"/>
  <c r="E21" i="10" s="1"/>
  <c r="E24" i="10" s="1"/>
  <c r="E31" i="9"/>
  <c r="E31" i="8"/>
  <c r="E31" i="7"/>
  <c r="Q58" i="5"/>
  <c r="R58" i="5" s="1"/>
  <c r="Q59" i="5"/>
  <c r="R59" i="5"/>
  <c r="Q48" i="5"/>
  <c r="R48" i="5" s="1"/>
  <c r="Q49" i="5"/>
  <c r="R49" i="5" s="1"/>
  <c r="Q50" i="5"/>
  <c r="R50" i="5" s="1"/>
  <c r="Q51" i="5"/>
  <c r="R51" i="5" s="1"/>
  <c r="Q52" i="5"/>
  <c r="R52" i="5" s="1"/>
  <c r="Q53" i="5"/>
  <c r="R53" i="5" s="1"/>
  <c r="Q54" i="5"/>
  <c r="R54" i="5" s="1"/>
  <c r="Q55" i="5"/>
  <c r="R55" i="5" s="1"/>
  <c r="Q56" i="5"/>
  <c r="R56" i="5" s="1"/>
  <c r="Q57" i="5"/>
  <c r="R57" i="5" s="1"/>
  <c r="E25" i="10" l="1"/>
  <c r="R61" i="5"/>
  <c r="D21" i="5" l="1"/>
  <c r="E21" i="5" s="1"/>
  <c r="E24" i="5" s="1"/>
  <c r="R45" i="5" s="1"/>
  <c r="R62" i="5" s="1"/>
  <c r="D22" i="5"/>
  <c r="E22" i="5" s="1"/>
  <c r="S58" i="5" l="1"/>
  <c r="S59" i="5"/>
  <c r="E25" i="5"/>
  <c r="S49" i="5"/>
  <c r="S57" i="5"/>
  <c r="S52" i="5"/>
  <c r="S48" i="5"/>
  <c r="S55" i="5"/>
  <c r="S53" i="5"/>
  <c r="S54" i="5"/>
  <c r="S51" i="5"/>
  <c r="S50" i="5"/>
  <c r="S56" i="5"/>
  <c r="E32" i="4"/>
  <c r="T59" i="5" l="1"/>
  <c r="T58" i="5"/>
  <c r="T54" i="5"/>
  <c r="T50" i="5"/>
  <c r="T53" i="5"/>
  <c r="T55" i="5"/>
  <c r="T48" i="5"/>
  <c r="T52" i="5"/>
  <c r="T56" i="5"/>
  <c r="T57" i="5"/>
  <c r="T49" i="5"/>
  <c r="T51" i="5"/>
  <c r="S61" i="5"/>
  <c r="F38" i="1" l="1"/>
  <c r="F41" i="1" s="1"/>
  <c r="E38" i="1"/>
  <c r="E41" i="1" s="1"/>
  <c r="D38" i="1"/>
  <c r="D41" i="1" s="1"/>
  <c r="C38" i="1"/>
  <c r="C41" i="1" s="1"/>
  <c r="B21" i="1"/>
  <c r="B22" i="1"/>
  <c r="B23" i="1"/>
  <c r="B24" i="1"/>
  <c r="B25" i="1"/>
  <c r="B26" i="1"/>
  <c r="B27" i="1"/>
  <c r="B28" i="1"/>
  <c r="B29" i="1"/>
  <c r="B30" i="1"/>
  <c r="K38" i="1" l="1"/>
  <c r="K39" i="1" s="1"/>
  <c r="K40" i="1"/>
  <c r="A34" i="27"/>
</calcChain>
</file>

<file path=xl/sharedStrings.xml><?xml version="1.0" encoding="utf-8"?>
<sst xmlns="http://schemas.openxmlformats.org/spreadsheetml/2006/main" count="1130" uniqueCount="514">
  <si>
    <t>010001</t>
  </si>
  <si>
    <t>Bridge ID</t>
  </si>
  <si>
    <t>Alternative</t>
  </si>
  <si>
    <t>Do nothing</t>
  </si>
  <si>
    <t>Program year</t>
  </si>
  <si>
    <t>Deck area (sq.ft)</t>
  </si>
  <si>
    <t>11 - Urban interstate</t>
  </si>
  <si>
    <t>Hazard scenarios</t>
  </si>
  <si>
    <t>Safety</t>
  </si>
  <si>
    <t>Mobility</t>
  </si>
  <si>
    <t>Cost</t>
  </si>
  <si>
    <t>Performance criteria</t>
  </si>
  <si>
    <t>Eq-100</t>
  </si>
  <si>
    <t>ADT</t>
  </si>
  <si>
    <t>Vulnerability</t>
  </si>
  <si>
    <t>Roadways</t>
  </si>
  <si>
    <t>On structure</t>
  </si>
  <si>
    <t>Under structure</t>
  </si>
  <si>
    <t>Environ</t>
  </si>
  <si>
    <t>Extreme</t>
  </si>
  <si>
    <t>Scenario</t>
  </si>
  <si>
    <t>Utilization</t>
  </si>
  <si>
    <t>Miles</t>
  </si>
  <si>
    <t>Detour</t>
  </si>
  <si>
    <t>Trucks</t>
  </si>
  <si>
    <t>MPH</t>
  </si>
  <si>
    <t>Description</t>
  </si>
  <si>
    <t>Class</t>
  </si>
  <si>
    <t>Weight</t>
  </si>
  <si>
    <t>Fl-500</t>
  </si>
  <si>
    <t>Fl-100a</t>
  </si>
  <si>
    <t>Fl-100b</t>
  </si>
  <si>
    <t>100-year flood, structure replacement required.</t>
  </si>
  <si>
    <t>100-year earthquake, structure replacement required.</t>
  </si>
  <si>
    <t>100-year flood, structure closed for 1 week for monitoring and scour mitigation.</t>
  </si>
  <si>
    <t>Please specify magnitude, damage severity, and service impact</t>
  </si>
  <si>
    <t>OH-13.5</t>
  </si>
  <si>
    <t>500-year flood, structure replacement required.</t>
  </si>
  <si>
    <t>Overheight collision for bridges up to 13.5' clearance, traffic detoured for one day</t>
  </si>
  <si>
    <t>AD-0.9</t>
  </si>
  <si>
    <t>Fracture</t>
  </si>
  <si>
    <t>A fracture causes partial failure of a structure, necessitating replacement.</t>
  </si>
  <si>
    <t>ID</t>
  </si>
  <si>
    <t>Program cost ($000)</t>
  </si>
  <si>
    <t>Consequences ($000)</t>
  </si>
  <si>
    <t>Advanced deterioration necessitates permanent load posting at rating factor 0.9 or below.</t>
  </si>
  <si>
    <t>Risk analysis results</t>
  </si>
  <si>
    <t>blank1</t>
  </si>
  <si>
    <t>Roadway</t>
  </si>
  <si>
    <t>14 - Urban other principal arterial</t>
  </si>
  <si>
    <t>Func class</t>
  </si>
  <si>
    <t>Risk cost and vulnerability</t>
  </si>
  <si>
    <t>Struc weight</t>
  </si>
  <si>
    <t>Criterion</t>
  </si>
  <si>
    <t>Minimize vehicle emissions and damage to environmental resources</t>
  </si>
  <si>
    <t>Minimize recovery cost and excess life cycle cost</t>
  </si>
  <si>
    <t>Minimize injuries and property damage</t>
  </si>
  <si>
    <t>Minimize excess travel time and vehicle operating cost</t>
  </si>
  <si>
    <t>Likelihood</t>
  </si>
  <si>
    <t>Criteria weight</t>
  </si>
  <si>
    <t>Vulnerability index:</t>
  </si>
  <si>
    <t>Utility:</t>
  </si>
  <si>
    <t>Social cost of risk ($000):</t>
  </si>
  <si>
    <t>Length (ft)</t>
  </si>
  <si>
    <t>From BMS data. If multiple roadways, use the total ADT and most significant roadway, projected to program year.</t>
  </si>
  <si>
    <t>Use worksheet A to define the hazard scenarios and performance criteria.</t>
  </si>
  <si>
    <t>Hazard scenario</t>
  </si>
  <si>
    <t>Likelihood of service disruption</t>
  </si>
  <si>
    <t>None</t>
  </si>
  <si>
    <t>Range</t>
  </si>
  <si>
    <t>Probability</t>
  </si>
  <si>
    <t>Low</t>
  </si>
  <si>
    <t>Moderate</t>
  </si>
  <si>
    <t>High</t>
  </si>
  <si>
    <t>Certain</t>
  </si>
  <si>
    <t>&lt; 5</t>
  </si>
  <si>
    <t>&lt; 35</t>
  </si>
  <si>
    <t>&lt; 65</t>
  </si>
  <si>
    <t>&lt; 95</t>
  </si>
  <si>
    <t>&gt;= 95</t>
  </si>
  <si>
    <t>Check one</t>
  </si>
  <si>
    <t>m</t>
  </si>
  <si>
    <t>Specific probability (optional)</t>
  </si>
  <si>
    <t>Use value</t>
  </si>
  <si>
    <t>Wildfire-100</t>
  </si>
  <si>
    <t>Respondent</t>
  </si>
  <si>
    <t>Recollection of past incidents</t>
  </si>
  <si>
    <t>Bridge</t>
  </si>
  <si>
    <t>Impact</t>
  </si>
  <si>
    <t>Scaling</t>
  </si>
  <si>
    <t>Year</t>
  </si>
  <si>
    <t>How many years back can you reliably remember these incidents?</t>
  </si>
  <si>
    <t>District</t>
  </si>
  <si>
    <t>Wildfire probability</t>
  </si>
  <si>
    <t>150087</t>
  </si>
  <si>
    <t>226543</t>
  </si>
  <si>
    <t>220007</t>
  </si>
  <si>
    <t>Duration
(days)</t>
  </si>
  <si>
    <t>Destroyed</t>
  </si>
  <si>
    <t>Closure</t>
  </si>
  <si>
    <t>Damaged</t>
  </si>
  <si>
    <t>How many additional incidents do you believe occurred during this period?</t>
  </si>
  <si>
    <t>Total number of bridges affected</t>
  </si>
  <si>
    <t>Please jog your memory and list as many incidents as you can when wildfires damaged a bridge or otherwise forced a road closure or delay</t>
  </si>
  <si>
    <t>IM456</t>
  </si>
  <si>
    <r>
      <t>Number of bridges in district</t>
    </r>
    <r>
      <rPr>
        <i/>
        <sz val="9.5"/>
        <color theme="1"/>
        <rFont val="Times New Roman"/>
        <family val="1"/>
      </rPr>
      <t xml:space="preserve"> (from BMS)</t>
    </r>
  </si>
  <si>
    <r>
      <t>Wildfire probability</t>
    </r>
    <r>
      <rPr>
        <i/>
        <sz val="9.5"/>
        <color theme="1"/>
        <rFont val="Times New Roman"/>
        <family val="1"/>
      </rPr>
      <t xml:space="preserve"> (GIS analysis)</t>
    </r>
  </si>
  <si>
    <r>
      <t xml:space="preserve">Likelihood of service disruption
</t>
    </r>
    <r>
      <rPr>
        <i/>
        <sz val="9.5"/>
        <color theme="1"/>
        <rFont val="Times New Roman"/>
        <family val="1"/>
      </rPr>
      <t>(Line 13 ÷ Line14 ÷ Line 11 ÷ Line 15)</t>
    </r>
  </si>
  <si>
    <t>Summary of historical analysis and polling</t>
  </si>
  <si>
    <t>Starting</t>
  </si>
  <si>
    <t>Ending</t>
  </si>
  <si>
    <t>Number of bridges</t>
  </si>
  <si>
    <t>Bridge susceptibility</t>
  </si>
  <si>
    <t>Fuel availability</t>
  </si>
  <si>
    <t>Average deck area (sq.ft)</t>
  </si>
  <si>
    <t>Estimated total number of bridges affected over this period</t>
  </si>
  <si>
    <t>Mitigation effectiveness</t>
  </si>
  <si>
    <t>Area considered</t>
  </si>
  <si>
    <t>Statewide</t>
  </si>
  <si>
    <t>Estimated total expenditure on incident recovery ($ million)</t>
  </si>
  <si>
    <t>Construction cost index</t>
  </si>
  <si>
    <t>Growth rate</t>
  </si>
  <si>
    <t>Multiplier</t>
  </si>
  <si>
    <t>Number of incidents</t>
  </si>
  <si>
    <t>Costs</t>
  </si>
  <si>
    <t>Concrete</t>
  </si>
  <si>
    <t>Steel</t>
  </si>
  <si>
    <t>Timber</t>
  </si>
  <si>
    <t>Steel, iron</t>
  </si>
  <si>
    <t>Concrete, other</t>
  </si>
  <si>
    <t>Medium</t>
  </si>
  <si>
    <r>
      <t xml:space="preserve">Material </t>
    </r>
    <r>
      <rPr>
        <i/>
        <sz val="9.5"/>
        <color theme="1"/>
        <rFont val="Times New Roman"/>
        <family val="1"/>
      </rPr>
      <t>(NBI 43 and 44)</t>
    </r>
  </si>
  <si>
    <r>
      <t>Fuel availability</t>
    </r>
    <r>
      <rPr>
        <i/>
        <sz val="9.5"/>
        <color theme="1"/>
        <rFont val="Times New Roman"/>
        <family val="1"/>
      </rPr>
      <t xml:space="preserve"> (to be assessed in the field)</t>
    </r>
  </si>
  <si>
    <r>
      <t xml:space="preserve">Mitigation effectiveness </t>
    </r>
    <r>
      <rPr>
        <i/>
        <sz val="9.5"/>
        <color theme="1"/>
        <rFont val="Times New Roman"/>
        <family val="1"/>
      </rPr>
      <t>(to be assessed in the field)</t>
    </r>
  </si>
  <si>
    <t>Material</t>
  </si>
  <si>
    <t>Relative likelihood</t>
  </si>
  <si>
    <t>010003</t>
  </si>
  <si>
    <t>010004</t>
  </si>
  <si>
    <t>010006</t>
  </si>
  <si>
    <t>010007</t>
  </si>
  <si>
    <t>010008</t>
  </si>
  <si>
    <t>010009</t>
  </si>
  <si>
    <t>010010</t>
  </si>
  <si>
    <t>010011</t>
  </si>
  <si>
    <t>010012</t>
  </si>
  <si>
    <t>Matl</t>
  </si>
  <si>
    <t>MatlName</t>
  </si>
  <si>
    <t>Fuel</t>
  </si>
  <si>
    <t>FuelName</t>
  </si>
  <si>
    <t>Mitn</t>
  </si>
  <si>
    <t>MitnName</t>
  </si>
  <si>
    <t>RelLike</t>
  </si>
  <si>
    <t>Total</t>
  </si>
  <si>
    <t>Number of years covered (T)</t>
  </si>
  <si>
    <t>Allocated incidents</t>
  </si>
  <si>
    <t>Disruption likelihood</t>
  </si>
  <si>
    <t>Final LE</t>
  </si>
  <si>
    <t>010013</t>
  </si>
  <si>
    <t>010014</t>
  </si>
  <si>
    <t>Example calculation for a 1/1000 sample of the database</t>
  </si>
  <si>
    <t>Predicted number of annual incidents in sample:</t>
  </si>
  <si>
    <t>Scaling factor</t>
  </si>
  <si>
    <t>AllocInc</t>
  </si>
  <si>
    <t>Landslide-100</t>
  </si>
  <si>
    <t>Please jog your memory and list as many incidents as you can when landslides damaged a bridge or otherwise forced a road closure or delay on or under a bridge</t>
  </si>
  <si>
    <t>Number of bridges in landslide-vulnerable areas in the district</t>
  </si>
  <si>
    <r>
      <t>Landslide probability</t>
    </r>
    <r>
      <rPr>
        <i/>
        <sz val="9.5"/>
        <color theme="1"/>
        <rFont val="Times New Roman"/>
        <family val="1"/>
      </rPr>
      <t xml:space="preserve"> (GIS analysis)</t>
    </r>
  </si>
  <si>
    <t>Surge-Cat1</t>
  </si>
  <si>
    <t>Please jog your memory and list as many incidents as you can when storm surge damaged a bridge or otherwise forced a road closure or delay on or under a bridge</t>
  </si>
  <si>
    <t>Number of bridges in storm surge-vulnerable areas in the district</t>
  </si>
  <si>
    <r>
      <t>Storm surge probability</t>
    </r>
    <r>
      <rPr>
        <i/>
        <sz val="9.5"/>
        <color theme="1"/>
        <rFont val="Times New Roman"/>
        <family val="1"/>
      </rPr>
      <t xml:space="preserve"> (GIS analysis)</t>
    </r>
  </si>
  <si>
    <t>High wind-100</t>
  </si>
  <si>
    <t xml:space="preserve">Please jog your memory and list as many incidents as you can when tornadoes or other high winds damaged a bridge or otherwise forced a bridge closure or delay </t>
  </si>
  <si>
    <t>Number of bridges in the district</t>
  </si>
  <si>
    <r>
      <t>Wind event probability</t>
    </r>
    <r>
      <rPr>
        <i/>
        <sz val="9.5"/>
        <color theme="1"/>
        <rFont val="Times New Roman"/>
        <family val="1"/>
      </rPr>
      <t xml:space="preserve"> (GIS analysis)</t>
    </r>
  </si>
  <si>
    <t>Flood-100</t>
  </si>
  <si>
    <t>Under superstructure</t>
  </si>
  <si>
    <t>Water pressure on superstructure</t>
  </si>
  <si>
    <t>Water over approach</t>
  </si>
  <si>
    <r>
      <t>Flood impingement on bridge</t>
    </r>
    <r>
      <rPr>
        <i/>
        <sz val="9.5"/>
        <color theme="1"/>
        <rFont val="Times New Roman"/>
        <family val="1"/>
      </rPr>
      <t xml:space="preserve"> (field assessment)</t>
    </r>
  </si>
  <si>
    <t>Water over bridge deck</t>
  </si>
  <si>
    <t>Severe scour</t>
  </si>
  <si>
    <t>Code</t>
  </si>
  <si>
    <t>A</t>
  </si>
  <si>
    <t>Not a waterway</t>
  </si>
  <si>
    <t>E</t>
  </si>
  <si>
    <t>Culvert</t>
  </si>
  <si>
    <t>M</t>
  </si>
  <si>
    <t>Stable; scour above footing</t>
  </si>
  <si>
    <t>H</t>
  </si>
  <si>
    <t>Foundation above water</t>
  </si>
  <si>
    <t>N</t>
  </si>
  <si>
    <t>Stable; scour in footing/pile</t>
  </si>
  <si>
    <t>I</t>
  </si>
  <si>
    <t>Screened; low risk</t>
  </si>
  <si>
    <t>L</t>
  </si>
  <si>
    <t>Evaluated; stable</t>
  </si>
  <si>
    <t>P</t>
  </si>
  <si>
    <t>Stable due to protection</t>
  </si>
  <si>
    <t>K</t>
  </si>
  <si>
    <t>Screened; limited risk</t>
  </si>
  <si>
    <t>F</t>
  </si>
  <si>
    <t>No eval; foundation known</t>
  </si>
  <si>
    <t>C</t>
  </si>
  <si>
    <t>Closed; no scour</t>
  </si>
  <si>
    <t>J</t>
  </si>
  <si>
    <t>Screened; susceptible</t>
  </si>
  <si>
    <t>O</t>
  </si>
  <si>
    <t>Stable; action required</t>
  </si>
  <si>
    <t>G</t>
  </si>
  <si>
    <t>No eval; foundation unknown</t>
  </si>
  <si>
    <t>R</t>
  </si>
  <si>
    <t>Critical; monitor</t>
  </si>
  <si>
    <t>B</t>
  </si>
  <si>
    <t>Closed; scour</t>
  </si>
  <si>
    <t>D</t>
  </si>
  <si>
    <t>Imminent protection reqd</t>
  </si>
  <si>
    <t>U</t>
  </si>
  <si>
    <t>Critical; protection required</t>
  </si>
  <si>
    <t>Smart flag reduction:</t>
  </si>
  <si>
    <t>Bridge scour susceptibility</t>
  </si>
  <si>
    <t>Defect reduction</t>
  </si>
  <si>
    <t>Use worst condition state of defect 6000, Scour</t>
  </si>
  <si>
    <t>Scour2</t>
  </si>
  <si>
    <t>Scour1</t>
  </si>
  <si>
    <t>Functional class</t>
  </si>
  <si>
    <t>Waterway adequacy (NBI 71)</t>
  </si>
  <si>
    <t>S</t>
  </si>
  <si>
    <t>Channel condition (NBI 61)</t>
  </si>
  <si>
    <t>Channel/protection condition (NBI 61)</t>
  </si>
  <si>
    <t>Substructure condition (NBI 60)</t>
  </si>
  <si>
    <t>Scour susceptibility</t>
  </si>
  <si>
    <t>Freeways or Expressways (12)</t>
  </si>
  <si>
    <t>Minor Arterials (08)</t>
  </si>
  <si>
    <t>Principal Arterials – Interstates (01,11)</t>
  </si>
  <si>
    <t>Other principal arterials (02, 14)</t>
  </si>
  <si>
    <t>Minor arterials (06,16)</t>
  </si>
  <si>
    <t>Major Collectors (07,17)</t>
  </si>
  <si>
    <t>Locals (09,19)</t>
  </si>
  <si>
    <t>Functional class (NBI 26)</t>
  </si>
  <si>
    <t>Overtopping frequency</t>
  </si>
  <si>
    <t>C - Bridge closed</t>
  </si>
  <si>
    <t>N - None</t>
  </si>
  <si>
    <t>R - Remote</t>
  </si>
  <si>
    <t>S - Slight</t>
  </si>
  <si>
    <t>O - Occasional</t>
  </si>
  <si>
    <t>F - Frequent</t>
  </si>
  <si>
    <t>Legend</t>
  </si>
  <si>
    <t>Return (yrs)</t>
  </si>
  <si>
    <t>N/A</t>
  </si>
  <si>
    <t>Never</t>
  </si>
  <si>
    <t>&gt; 100</t>
  </si>
  <si>
    <t>11 to 100</t>
  </si>
  <si>
    <t>3 to 10</t>
  </si>
  <si>
    <t>&lt; 3</t>
  </si>
  <si>
    <t>0 - Failure</t>
  </si>
  <si>
    <t>1 - Failure</t>
  </si>
  <si>
    <t>2 - Near collapse</t>
  </si>
  <si>
    <t>3 - Channel migration</t>
  </si>
  <si>
    <t>4 - Undetermined bank</t>
  </si>
  <si>
    <t>5 - Eroded bank</t>
  </si>
  <si>
    <t>6 - Bed movement</t>
  </si>
  <si>
    <t>7 - Minor drift</t>
  </si>
  <si>
    <t>8 - Stable condition</t>
  </si>
  <si>
    <t>9 - No deficiencies</t>
  </si>
  <si>
    <t>N - Not over water</t>
  </si>
  <si>
    <t>0 - Failed</t>
  </si>
  <si>
    <t>1 - Imminent failure</t>
  </si>
  <si>
    <t>2 - Critical scour</t>
  </si>
  <si>
    <t>3 - Serious scour</t>
  </si>
  <si>
    <t>4 - Advanced scour</t>
  </si>
  <si>
    <t>5 - Minor scour</t>
  </si>
  <si>
    <t>6 - Minor deterioration</t>
  </si>
  <si>
    <t>7 - Good condition</t>
  </si>
  <si>
    <t>8 - Very good condition</t>
  </si>
  <si>
    <t>9 - Excellent condition</t>
  </si>
  <si>
    <r>
      <t xml:space="preserve">Scour susceptibility
</t>
    </r>
    <r>
      <rPr>
        <i/>
        <sz val="9.5"/>
        <color theme="1"/>
        <rFont val="Times New Roman"/>
        <family val="1"/>
      </rPr>
      <t>(from Table 5)</t>
    </r>
  </si>
  <si>
    <t>R - Remote
0.01</t>
  </si>
  <si>
    <t>S - Slight
0.02</t>
  </si>
  <si>
    <t>O - Occasional
0.2</t>
  </si>
  <si>
    <t>F - Frequent
0.3</t>
  </si>
  <si>
    <r>
      <t>Overtopping frequency</t>
    </r>
    <r>
      <rPr>
        <i/>
        <sz val="9.5"/>
        <color theme="1"/>
        <rFont val="Times New Roman"/>
        <family val="1"/>
      </rPr>
      <t xml:space="preserve"> (from Table 4)</t>
    </r>
  </si>
  <si>
    <r>
      <t>Overtopping frequency</t>
    </r>
    <r>
      <rPr>
        <i/>
        <sz val="9.5"/>
        <color theme="1"/>
        <rFont val="Times New Roman"/>
        <family val="1"/>
      </rPr>
      <t xml:space="preserve"> (Table 4)</t>
    </r>
  </si>
  <si>
    <r>
      <t>Scour susceptibility</t>
    </r>
    <r>
      <rPr>
        <i/>
        <sz val="9.5"/>
        <color theme="1"/>
        <rFont val="Times New Roman"/>
        <family val="1"/>
      </rPr>
      <t xml:space="preserve"> (Table 5)</t>
    </r>
  </si>
  <si>
    <r>
      <t xml:space="preserve">Likelihood of service disruption </t>
    </r>
    <r>
      <rPr>
        <i/>
        <sz val="9.5"/>
        <color theme="1"/>
        <rFont val="Times New Roman"/>
        <family val="1"/>
      </rPr>
      <t>(Table 6)</t>
    </r>
  </si>
  <si>
    <t>Temperature</t>
  </si>
  <si>
    <t>Permafrost-100</t>
  </si>
  <si>
    <t>Please jog your memory and list as many incidents as you can when permafrost instability damaged a bridge or otherwise forced a bridge closure or delay</t>
  </si>
  <si>
    <t>Number of bridges in permafrost-vulnerable areas in the district</t>
  </si>
  <si>
    <r>
      <t>Permafrost instability failure probability</t>
    </r>
    <r>
      <rPr>
        <i/>
        <sz val="9.5"/>
        <color theme="1"/>
        <rFont val="Times New Roman"/>
        <family val="1"/>
      </rPr>
      <t xml:space="preserve"> 
(GIS analysis)</t>
    </r>
  </si>
  <si>
    <t>Overload</t>
  </si>
  <si>
    <t>2018</t>
  </si>
  <si>
    <t>Average daily traffic (NBI 29)</t>
  </si>
  <si>
    <t>Year of average daily traffic (NBI 30)</t>
  </si>
  <si>
    <t>Future average daily traffic (NBI 114)</t>
  </si>
  <si>
    <t>Year of future average daily traffic (NBI 115)</t>
  </si>
  <si>
    <t>Truck percent (NBI 109)</t>
  </si>
  <si>
    <t>Operating rating (NBI 64, pounds)</t>
  </si>
  <si>
    <r>
      <t xml:space="preserve">Percent of trucks exceeding op rating
</t>
    </r>
    <r>
      <rPr>
        <i/>
        <sz val="9.5"/>
        <color theme="1"/>
        <rFont val="Times New Roman"/>
        <family val="1"/>
      </rPr>
      <t>(compute from truck histogram)</t>
    </r>
  </si>
  <si>
    <t>Forecast year</t>
  </si>
  <si>
    <t>Over-height</t>
  </si>
  <si>
    <t>Vertical clearance in feet (NBI 10)</t>
  </si>
  <si>
    <r>
      <t xml:space="preserve">Percent of trucks exceeding clearance
</t>
    </r>
    <r>
      <rPr>
        <i/>
        <sz val="9.5"/>
        <color theme="1"/>
        <rFont val="Times New Roman"/>
        <family val="1"/>
      </rPr>
      <t>(compute from truck histogram)</t>
    </r>
  </si>
  <si>
    <t>Truck collision</t>
  </si>
  <si>
    <t>Number of lanes (NBI 28)</t>
  </si>
  <si>
    <r>
      <t xml:space="preserve">Bridge length in feet (NBI 49 or 52)
</t>
    </r>
    <r>
      <rPr>
        <i/>
        <sz val="9.5"/>
        <color theme="1"/>
        <rFont val="Times New Roman"/>
        <family val="1"/>
      </rPr>
      <t>(use 49 for roadway-on, and 52 for under)</t>
    </r>
  </si>
  <si>
    <t>Roadway width in feet (NBI 51)</t>
  </si>
  <si>
    <t>Approach alignment (NBI 72)</t>
  </si>
  <si>
    <t>Deck condition (NBI 58)</t>
  </si>
  <si>
    <t>Coef3 (approach and deck)</t>
  </si>
  <si>
    <r>
      <t xml:space="preserve">Term 1 (urban arterials)
</t>
    </r>
    <r>
      <rPr>
        <i/>
        <sz val="9.5"/>
        <color theme="1"/>
        <rFont val="Times New Roman"/>
        <family val="1"/>
      </rPr>
      <t>886.0 if urban arterial, -377.4 otherwise</t>
    </r>
  </si>
  <si>
    <t>Approach &lt;= 6 and deck &lt;=6</t>
  </si>
  <si>
    <t>Approach&lt;=6 and deck &gt; 6</t>
  </si>
  <si>
    <t>Approach &gt; 6 and deck &lt;=6</t>
  </si>
  <si>
    <t>Approach &gt; 6 and deck &gt; 6</t>
  </si>
  <si>
    <t>Vessel collision</t>
  </si>
  <si>
    <t>Please jog your memory and list as many incidents as you can when a vessel collision damaged a bridge or otherwise forced a bridge closure or delay</t>
  </si>
  <si>
    <r>
      <t xml:space="preserve">Likelihood of service disruption
</t>
    </r>
    <r>
      <rPr>
        <i/>
        <sz val="9.5"/>
        <color theme="1"/>
        <rFont val="Times New Roman"/>
        <family val="1"/>
      </rPr>
      <t>(Line 13 ÷ Line14 ÷ Line 11)</t>
    </r>
  </si>
  <si>
    <t>Deterioration</t>
  </si>
  <si>
    <t>215/3 - Re Conc Abutment (lf.)</t>
  </si>
  <si>
    <t>226/3 - Pre Conc Pile (ea.)</t>
  </si>
  <si>
    <t>234/3 - Re Conc Pier Cap (lf.)</t>
  </si>
  <si>
    <t>301/3 - Pourable Joint Seal (lf.)</t>
  </si>
  <si>
    <t>310/3 - Elastomeric Bearing (ea.)</t>
  </si>
  <si>
    <t>321/3 - Re Conc Approach Slab (ea.)</t>
  </si>
  <si>
    <t>12/3 - Re Concrete Deck (sf.)</t>
  </si>
  <si>
    <t>109/3 - Pre Opn Conc Girder/Beam (lf.)</t>
  </si>
  <si>
    <t>333/3 - Other Bridge Railing (lf.)</t>
  </si>
  <si>
    <t>Element</t>
  </si>
  <si>
    <t>Quantity</t>
  </si>
  <si>
    <t>Component</t>
  </si>
  <si>
    <t>Deck</t>
  </si>
  <si>
    <t>Super</t>
  </si>
  <si>
    <t>Sub</t>
  </si>
  <si>
    <t>Other</t>
  </si>
  <si>
    <t>Decay index:</t>
  </si>
  <si>
    <t>Model mean</t>
  </si>
  <si>
    <t>Model standard deviation</t>
  </si>
  <si>
    <t>Mean</t>
  </si>
  <si>
    <t>StdDev</t>
  </si>
  <si>
    <t>Concrete - prestressed</t>
  </si>
  <si>
    <t>Concrete - reinforced</t>
  </si>
  <si>
    <t>Main unit material (NBI 43A)</t>
  </si>
  <si>
    <t>910081</t>
  </si>
  <si>
    <t>Percent in state 3</t>
  </si>
  <si>
    <t>Percent in state 4</t>
  </si>
  <si>
    <t>State 3</t>
  </si>
  <si>
    <t>State 4</t>
  </si>
  <si>
    <t>Component weight</t>
  </si>
  <si>
    <t>Current element value</t>
  </si>
  <si>
    <t>Replacement
unit cost</t>
  </si>
  <si>
    <t>Condition state weight</t>
  </si>
  <si>
    <t>Total value (TEV)</t>
  </si>
  <si>
    <t>Weight 
state 3</t>
  </si>
  <si>
    <t>Weight 
state 4</t>
  </si>
  <si>
    <t>Decay
index</t>
  </si>
  <si>
    <t>Forecast condition</t>
  </si>
  <si>
    <t>Element data (only primary structural elements participate)</t>
  </si>
  <si>
    <t>Weight for state 3</t>
  </si>
  <si>
    <t>Probability density function (PDF)</t>
  </si>
  <si>
    <t>Cumulative probability (CDF)</t>
  </si>
  <si>
    <r>
      <t xml:space="preserve">Decay index (DI) based on element conditions
</t>
    </r>
    <r>
      <rPr>
        <i/>
        <sz val="9.5"/>
        <color theme="1"/>
        <rFont val="Times New Roman"/>
        <family val="1"/>
      </rPr>
      <t>(computations in Table 5)</t>
    </r>
  </si>
  <si>
    <t>Delay coefficient (Dcoef)</t>
  </si>
  <si>
    <t>Concrete -prestress</t>
  </si>
  <si>
    <t>Concrete -reinforced</t>
  </si>
  <si>
    <t>Fatigue</t>
  </si>
  <si>
    <t>3 - Steel</t>
  </si>
  <si>
    <t>2 - Stringer/girder</t>
  </si>
  <si>
    <t>If trafficdir=3 or lanes=1</t>
  </si>
  <si>
    <t>If trafficdir=1 and lanes=2</t>
  </si>
  <si>
    <t>If trafficdir=1 and lanes&gt;2</t>
  </si>
  <si>
    <t>If trafficdir=2 and lanes=2 or 3</t>
  </si>
  <si>
    <t>If trafficdir=2 and lanes=4 or 5</t>
  </si>
  <si>
    <t>If trafficdir=2 and lanes&gt;5</t>
  </si>
  <si>
    <t>Resistance factor - mean life (Table 9)</t>
  </si>
  <si>
    <t>Maximum span length (NBI 48) (feet)</t>
  </si>
  <si>
    <t>Main material (NBI 43)</t>
  </si>
  <si>
    <t>Main design (NBI 43)</t>
  </si>
  <si>
    <t>Approach material (NBI 44)</t>
  </si>
  <si>
    <t>Approach design (NBI 44)</t>
  </si>
  <si>
    <t>Critical detail fatigue category</t>
  </si>
  <si>
    <t>Resistance factor - evaluation life (Table 9)</t>
  </si>
  <si>
    <t>Empirical fatigue constant (cu.ksi) (Table 9)</t>
  </si>
  <si>
    <t>Mean fatigue life</t>
  </si>
  <si>
    <t>No-growth evaluation fatigue life</t>
  </si>
  <si>
    <t>Evaluation fatigue life</t>
  </si>
  <si>
    <t>Probability of fatigue cracking</t>
  </si>
  <si>
    <t>Year built (NBI 27)</t>
  </si>
  <si>
    <t>Funct class (26)</t>
  </si>
  <si>
    <t>No-growth mean fatigue life (years)</t>
  </si>
  <si>
    <t>Traffic direction (NBI 102)</t>
  </si>
  <si>
    <t>2.50 E+10</t>
  </si>
  <si>
    <t>1.20 E+10</t>
  </si>
  <si>
    <t>B’</t>
  </si>
  <si>
    <t>6.10 E+09</t>
  </si>
  <si>
    <t>4.39 E+09</t>
  </si>
  <si>
    <t>C’</t>
  </si>
  <si>
    <t>2.20 E+09</t>
  </si>
  <si>
    <t>1.10 E+09</t>
  </si>
  <si>
    <t>E’</t>
  </si>
  <si>
    <t>3.90 E+08</t>
  </si>
  <si>
    <t>Fatigue category</t>
  </si>
  <si>
    <t>RM</t>
  </si>
  <si>
    <t>RE</t>
  </si>
  <si>
    <r>
      <t>K (ksi</t>
    </r>
    <r>
      <rPr>
        <vertAlign val="superscript"/>
        <sz val="9.5"/>
        <color theme="1"/>
        <rFont val="Times New Roman"/>
        <family val="1"/>
      </rPr>
      <t>3</t>
    </r>
    <r>
      <rPr>
        <sz val="9.5"/>
        <color theme="1"/>
        <rFont val="Times New Roman"/>
        <family val="1"/>
      </rPr>
      <t>)</t>
    </r>
  </si>
  <si>
    <t>Fatigue constants</t>
  </si>
  <si>
    <t>Fracture crit (NBI 92)</t>
  </si>
  <si>
    <t>Lanes (NBI 28)</t>
  </si>
  <si>
    <t>Screening for old steel bridges</t>
  </si>
  <si>
    <t>Growth rate and initial truck volume</t>
  </si>
  <si>
    <t>Fatigue life</t>
  </si>
  <si>
    <t>Growth rate (g)</t>
  </si>
  <si>
    <t>Single lane factor (SLF)</t>
  </si>
  <si>
    <r>
      <t>First-year loading cycles (T</t>
    </r>
    <r>
      <rPr>
        <vertAlign val="subscript"/>
        <sz val="9.5"/>
        <color theme="1"/>
        <rFont val="Times New Roman"/>
        <family val="1"/>
      </rPr>
      <t>1</t>
    </r>
    <r>
      <rPr>
        <sz val="9.5"/>
        <color theme="1"/>
        <rFont val="Times New Roman"/>
        <family val="1"/>
      </rPr>
      <t>)</t>
    </r>
  </si>
  <si>
    <t>Loading cycles per truck passage ( C )</t>
  </si>
  <si>
    <t>Effective stress range (S) at critical detail (ksi)</t>
  </si>
  <si>
    <t>Earthquake</t>
  </si>
  <si>
    <t>Projected average daily traffic (ADT)</t>
  </si>
  <si>
    <t>Number of vehicles in crash (VC)</t>
  </si>
  <si>
    <t>Speed on affected roadway (RS) (mph)</t>
  </si>
  <si>
    <t>Sudden collapse scenario</t>
  </si>
  <si>
    <t>Length of affected roadway (L) (feet)</t>
  </si>
  <si>
    <t>Social cost per vehicle in crash (ACC$) ($)</t>
  </si>
  <si>
    <t>Total social cost</t>
  </si>
  <si>
    <t>Consequence ratio (CR)</t>
  </si>
  <si>
    <t>Speed for worst consequences</t>
  </si>
  <si>
    <t>Duration of the disruption (DD) (hours)</t>
  </si>
  <si>
    <t>Vehicle operating cost (VOC$) ($/mile)</t>
  </si>
  <si>
    <t>Detour speed (DS) (mph)</t>
  </si>
  <si>
    <t>Travel time cost (TT$) ($/hour)</t>
  </si>
  <si>
    <t>Vehicle occupancy (VO) (persons/vehicle)</t>
  </si>
  <si>
    <t>Total Social Cost</t>
  </si>
  <si>
    <t>Detour length (DL, NBI 19) (miles)</t>
  </si>
  <si>
    <t>Worst case duration (hours)</t>
  </si>
  <si>
    <t>Mitigation effectiveness - Percent of vehicles damaged</t>
  </si>
  <si>
    <t>Ineffective</t>
  </si>
  <si>
    <t>Reliable</t>
  </si>
  <si>
    <t>Damage</t>
  </si>
  <si>
    <t>Specific percentage (optional)</t>
  </si>
  <si>
    <t>Vehicle emissions cost (EC$) ($/mile)</t>
  </si>
  <si>
    <t>Prediction of traffic volume</t>
  </si>
  <si>
    <t>Cost of detoured traffic</t>
  </si>
  <si>
    <t>Computation of emissions damage costs</t>
  </si>
  <si>
    <t>Length on-structure is bridge length. Length under-structure is bridge width..</t>
  </si>
  <si>
    <t>See the Sections 3.3 and 3.4 for likelihood computations.</t>
  </si>
  <si>
    <t>See Section 3.2 for these computations.</t>
  </si>
  <si>
    <t>Decay index and likelihood of service disruption</t>
  </si>
  <si>
    <t>Probability of truck crashes</t>
  </si>
  <si>
    <t>Trucks exceeding the vertical clearance</t>
  </si>
  <si>
    <r>
      <t xml:space="preserve">Scaled total annual recovery cost ($/sq.ft)
</t>
    </r>
    <r>
      <rPr>
        <i/>
        <sz val="9.5"/>
        <color theme="1"/>
        <rFont val="Times New Roman"/>
        <family val="1"/>
      </rPr>
      <t>Line 3 × $1M / line 8 / line 9 / line 6</t>
    </r>
  </si>
  <si>
    <r>
      <t xml:space="preserve">Scaled estimate of annual number of incidents
</t>
    </r>
    <r>
      <rPr>
        <i/>
        <sz val="9.5"/>
        <color theme="1"/>
        <rFont val="Times New Roman"/>
        <family val="1"/>
      </rPr>
      <t>line 2 / line 7 multiplier</t>
    </r>
  </si>
  <si>
    <r>
      <t xml:space="preserve">Scaled estimate of annual number of incidents
</t>
    </r>
    <r>
      <rPr>
        <i/>
        <sz val="9.5"/>
        <color theme="1"/>
        <rFont val="Times New Roman"/>
        <family val="1"/>
      </rPr>
      <t>Line 2 / line 7 multiplier</t>
    </r>
  </si>
  <si>
    <r>
      <t xml:space="preserve">Scaled total annual recovery cost ($/sq.ft)
</t>
    </r>
    <r>
      <rPr>
        <i/>
        <sz val="9.5"/>
        <color theme="1"/>
        <rFont val="Times New Roman"/>
        <family val="1"/>
      </rPr>
      <t>line 3 × $1M / line 8 / line 9 / line 6</t>
    </r>
  </si>
  <si>
    <t>Truck volume prediction</t>
  </si>
  <si>
    <r>
      <t xml:space="preserve">Projected average daily truck traffic
</t>
    </r>
    <r>
      <rPr>
        <i/>
        <sz val="9.5"/>
        <color theme="1"/>
        <rFont val="Times New Roman"/>
        <family val="1"/>
      </rPr>
      <t>line 5 × (1+line 9) ^ (line 2-line 6) × line 10</t>
    </r>
  </si>
  <si>
    <t>Number of overweight trucks</t>
  </si>
  <si>
    <r>
      <t xml:space="preserve">Annual trucks exceeding
</t>
    </r>
    <r>
      <rPr>
        <i/>
        <sz val="9.5"/>
        <color theme="1"/>
        <rFont val="Times New Roman"/>
        <family val="1"/>
      </rPr>
      <t>365 × line 11 × line 13</t>
    </r>
  </si>
  <si>
    <t>Traffic volume prediction</t>
  </si>
  <si>
    <r>
      <t xml:space="preserve">Term 2 (lanes × length)
</t>
    </r>
    <r>
      <rPr>
        <i/>
        <sz val="9.5"/>
        <color theme="1"/>
        <rFont val="Times New Roman"/>
        <family val="1"/>
      </rPr>
      <t>0.2232 × line 13 × line 14</t>
    </r>
  </si>
  <si>
    <r>
      <t xml:space="preserve">Growth rate
</t>
    </r>
    <r>
      <rPr>
        <i/>
        <sz val="9.5"/>
        <color theme="1"/>
        <rFont val="Times New Roman"/>
        <family val="1"/>
      </rPr>
      <t>(line 7 / line 5) ^ (1 / (line 8 - line 6)) - 1</t>
    </r>
  </si>
  <si>
    <r>
      <t>Growth rate
(</t>
    </r>
    <r>
      <rPr>
        <i/>
        <sz val="9.5"/>
        <color theme="1"/>
        <rFont val="Times New Roman"/>
        <family val="1"/>
      </rPr>
      <t>line 7 / line 5) ^ (1 / (line 8 -line 6)) - 1</t>
    </r>
  </si>
  <si>
    <r>
      <t xml:space="preserve">Projected average daily traffic
</t>
    </r>
    <r>
      <rPr>
        <i/>
        <sz val="9.5"/>
        <color theme="1"/>
        <rFont val="Times New Roman"/>
        <family val="1"/>
      </rPr>
      <t>line 5 × (1+line 9) ^ (line 2-line 6)</t>
    </r>
  </si>
  <si>
    <r>
      <t xml:space="preserve">Term 3 (narrowness × adt)
</t>
    </r>
    <r>
      <rPr>
        <i/>
        <sz val="9.5"/>
        <color theme="1"/>
        <rFont val="Times New Roman"/>
        <family val="1"/>
      </rPr>
      <t>line 18 × line 13 / line 19 × line 11</t>
    </r>
  </si>
  <si>
    <r>
      <t xml:space="preserve">Predicted annual truck accidents
</t>
    </r>
    <r>
      <rPr>
        <i/>
        <sz val="9.5"/>
        <color theme="1"/>
        <rFont val="Times New Roman"/>
        <family val="1"/>
      </rPr>
      <t>line 10 × (line 12 + line 15 + line 20) / 1000</t>
    </r>
  </si>
  <si>
    <r>
      <t xml:space="preserve">Decay status (number of standard deviations)
</t>
    </r>
    <r>
      <rPr>
        <i/>
        <sz val="9.5"/>
        <color theme="1"/>
        <rFont val="Times New Roman"/>
        <family val="1"/>
      </rPr>
      <t>( ln (line 4) - line 6) / line 7</t>
    </r>
  </si>
  <si>
    <r>
      <t xml:space="preserve">Hazard function value
3000 × </t>
    </r>
    <r>
      <rPr>
        <i/>
        <sz val="9.5"/>
        <color theme="1"/>
        <rFont val="Times New Roman"/>
        <family val="1"/>
      </rPr>
      <t>line 9 / (line 7 × line 4 × (1-line 10))</t>
    </r>
  </si>
  <si>
    <r>
      <t xml:space="preserve">Likelihood of service disruption
</t>
    </r>
    <r>
      <rPr>
        <i/>
        <sz val="9.5"/>
        <color theme="1"/>
        <rFont val="Times New Roman"/>
        <family val="1"/>
      </rPr>
      <t>line 11 + line 12 × line 4</t>
    </r>
  </si>
  <si>
    <t>Disruption</t>
  </si>
  <si>
    <t>Maximum unit risk cost:</t>
  </si>
  <si>
    <t>See Section 3.5 for supporting computations of consequences.</t>
  </si>
  <si>
    <t>Environment</t>
  </si>
  <si>
    <t>Risk cost ($k)</t>
  </si>
  <si>
    <t>Risk</t>
  </si>
  <si>
    <t>Cost ($k)</t>
  </si>
  <si>
    <t>M9.0 Earthquake</t>
  </si>
  <si>
    <t>Total number of bridges in Zone</t>
  </si>
  <si>
    <t>Number of bridges not Damaged</t>
  </si>
  <si>
    <t>Number of bridges with Total Failure</t>
  </si>
  <si>
    <t>Number of Years (Single Event 300 Years)</t>
  </si>
  <si>
    <t>Number of M 9.0 in ~300 years</t>
  </si>
  <si>
    <t>Number of bridges Heavily Damaged</t>
  </si>
  <si>
    <t>Cascadia Subduction Zone - Oregon</t>
  </si>
  <si>
    <t>Please jog your memory and list as many incidents as you can when earthquakes damaged a bridge or otherwise forced a road closure or delay on or under a bridge</t>
  </si>
  <si>
    <t>Total Number of damaged/failed bridges</t>
  </si>
  <si>
    <r>
      <t>Earthquake  probability</t>
    </r>
    <r>
      <rPr>
        <i/>
        <sz val="9.5"/>
        <color theme="1"/>
        <rFont val="Times New Roman"/>
        <family val="1"/>
      </rPr>
      <t xml:space="preserve"> (regionally Assumed)</t>
    </r>
  </si>
  <si>
    <t>Cost of Incident Response (historical analysis and polling)</t>
  </si>
  <si>
    <t xml:space="preserve">Cost of Repair/Replacement </t>
  </si>
  <si>
    <t>Estimated costs associated with traffic control</t>
  </si>
  <si>
    <t>Estimated costs associated with incident response</t>
  </si>
  <si>
    <t>Estimated costs associated with HazMat remediation</t>
  </si>
  <si>
    <t>Estimated total expenditures of incident response</t>
  </si>
  <si>
    <t xml:space="preserve">Estimated costs associated with detour </t>
  </si>
  <si>
    <t>Estimated costs associated with debris removal</t>
  </si>
  <si>
    <t>Short Span</t>
  </si>
  <si>
    <t>Medium Span</t>
  </si>
  <si>
    <t>Long Span</t>
  </si>
  <si>
    <t>Bridge Type (Select from drop-down list)</t>
  </si>
  <si>
    <t>Enter sq. ft. of bridge to be repaired/replaced</t>
  </si>
  <si>
    <t xml:space="preserve">Enter range of estimated cost per  sq. ft. </t>
  </si>
  <si>
    <t xml:space="preserve">        Low estimated cost per sq. ft. </t>
  </si>
  <si>
    <t xml:space="preserve">        High estimated cost per sq. ft. </t>
  </si>
  <si>
    <t>-</t>
  </si>
  <si>
    <t>Estimated cost of replacement bridge ($M)</t>
  </si>
  <si>
    <t>Estimated cost of temporary bridge (if used)</t>
  </si>
  <si>
    <t>Cost of Recovery (historical analysis and polling)</t>
  </si>
  <si>
    <t>Estimated total expenditures of recovery</t>
  </si>
  <si>
    <t xml:space="preserve">    Enter percentage of replacement cost</t>
  </si>
  <si>
    <t>Estimated cost of bridge repair</t>
  </si>
  <si>
    <t>See section 3.4.1.4 Polling in Guidelines</t>
  </si>
  <si>
    <t>See section 3.4.1.1 Assessments  in Guidelines</t>
  </si>
  <si>
    <t>See section 3.4.1.5 Risk allocation in Guidelines</t>
  </si>
  <si>
    <t>See section 3.4.2 Recommended estimation methods in Guidelines</t>
  </si>
  <si>
    <t>Scoring table for scour (adapted from Minnesota DOT, Thompson et al 2012)</t>
  </si>
  <si>
    <t>See section 3.5 Estimate consequences of service disruption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</si>
</sst>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"/>
    <numFmt numFmtId="165" formatCode="0.0000"/>
    <numFmt numFmtId="166" formatCode="0.0"/>
    <numFmt numFmtId="167" formatCode="#,##0.0000"/>
    <numFmt numFmtId="168" formatCode="0.000%"/>
    <numFmt numFmtId="169" formatCode="0.0000000"/>
    <numFmt numFmtId="170" formatCode="0.0000%"/>
    <numFmt numFmtId="171" formatCode="0.000\ 00\ %"/>
    <numFmt numFmtId="172" formatCode="0.00000"/>
    <numFmt numFmtId="173" formatCode="0.000"/>
  </numFmts>
  <fonts count="12" x14ac:knownFonts="1">
    <font>
      <sz val="8"/>
      <color theme="1"/>
      <name val="Calibri"/>
      <family val="2"/>
      <scheme val="minor"/>
    </font>
    <font>
      <sz val="9.5"/>
      <color theme="1"/>
      <name val="Times New Roman"/>
      <family val="1"/>
    </font>
    <font>
      <sz val="9.5"/>
      <name val="Times New Roman"/>
      <family val="1"/>
    </font>
    <font>
      <sz val="9.5"/>
      <color theme="0"/>
      <name val="Times New Roman"/>
      <family val="1"/>
    </font>
    <font>
      <i/>
      <sz val="9.5"/>
      <color theme="1"/>
      <name val="Times New Roman"/>
      <family val="1"/>
    </font>
    <font>
      <b/>
      <sz val="9.5"/>
      <color theme="1"/>
      <name val="Times New Roman"/>
      <family val="1"/>
    </font>
    <font>
      <b/>
      <sz val="9.5"/>
      <name val="Times New Roman"/>
      <family val="1"/>
    </font>
    <font>
      <sz val="9.5"/>
      <color theme="1"/>
      <name val="Wingdings"/>
      <charset val="2"/>
    </font>
    <font>
      <b/>
      <sz val="9.5"/>
      <color theme="0"/>
      <name val="Times New Roman"/>
      <family val="1"/>
    </font>
    <font>
      <vertAlign val="superscript"/>
      <sz val="9.5"/>
      <color theme="1"/>
      <name val="Times New Roman"/>
      <family val="1"/>
    </font>
    <font>
      <vertAlign val="subscript"/>
      <sz val="9.5"/>
      <color theme="1"/>
      <name val="Times New Roman"/>
      <family val="1"/>
    </font>
    <font>
      <i/>
      <sz val="9"/>
      <color rgb="FF44546A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Fill="1"/>
    <xf numFmtId="49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0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4" fillId="0" borderId="0" xfId="0" applyFont="1"/>
    <xf numFmtId="0" fontId="1" fillId="0" borderId="0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Fill="1" applyBorder="1"/>
    <xf numFmtId="167" fontId="1" fillId="0" borderId="0" xfId="0" applyNumberFormat="1" applyFont="1"/>
    <xf numFmtId="0" fontId="4" fillId="0" borderId="0" xfId="0" applyFont="1" applyAlignment="1">
      <alignment horizontal="left" vertical="top"/>
    </xf>
    <xf numFmtId="9" fontId="1" fillId="0" borderId="0" xfId="0" applyNumberFormat="1" applyFont="1"/>
    <xf numFmtId="0" fontId="1" fillId="4" borderId="0" xfId="0" applyFont="1" applyFill="1"/>
    <xf numFmtId="165" fontId="1" fillId="0" borderId="0" xfId="0" applyNumberFormat="1" applyFont="1"/>
    <xf numFmtId="1" fontId="3" fillId="2" borderId="0" xfId="0" applyNumberFormat="1" applyFont="1" applyFill="1"/>
    <xf numFmtId="10" fontId="1" fillId="0" borderId="0" xfId="0" applyNumberFormat="1" applyFont="1"/>
    <xf numFmtId="2" fontId="1" fillId="6" borderId="8" xfId="0" applyNumberFormat="1" applyFont="1" applyFill="1" applyBorder="1"/>
    <xf numFmtId="2" fontId="5" fillId="0" borderId="0" xfId="0" applyNumberFormat="1" applyFont="1"/>
    <xf numFmtId="0" fontId="4" fillId="0" borderId="0" xfId="0" applyFont="1" applyAlignment="1">
      <alignment horizontal="left" vertical="center" wrapText="1"/>
    </xf>
    <xf numFmtId="2" fontId="2" fillId="0" borderId="0" xfId="0" applyNumberFormat="1" applyFont="1" applyFill="1"/>
    <xf numFmtId="165" fontId="1" fillId="0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2" fillId="5" borderId="0" xfId="0" applyFont="1" applyFill="1"/>
    <xf numFmtId="0" fontId="3" fillId="3" borderId="0" xfId="0" applyFont="1" applyFill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7" borderId="0" xfId="0" applyFont="1" applyFill="1" applyAlignment="1">
      <alignment horizontal="righ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right"/>
    </xf>
    <xf numFmtId="0" fontId="3" fillId="7" borderId="0" xfId="0" applyFont="1" applyFill="1"/>
    <xf numFmtId="2" fontId="1" fillId="0" borderId="0" xfId="0" applyNumberFormat="1" applyFont="1"/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2" fontId="1" fillId="6" borderId="0" xfId="0" applyNumberFormat="1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1" fillId="8" borderId="0" xfId="0" applyFont="1" applyFill="1"/>
    <xf numFmtId="0" fontId="1" fillId="9" borderId="0" xfId="0" applyFont="1" applyFill="1"/>
    <xf numFmtId="0" fontId="3" fillId="9" borderId="0" xfId="0" applyFont="1" applyFill="1"/>
    <xf numFmtId="0" fontId="1" fillId="9" borderId="0" xfId="0" applyFont="1" applyFill="1" applyAlignment="1">
      <alignment horizontal="right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right" indent="2"/>
    </xf>
    <xf numFmtId="0" fontId="7" fillId="14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9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49" fontId="1" fillId="0" borderId="0" xfId="0" quotePrefix="1" applyNumberFormat="1" applyFont="1" applyAlignment="1">
      <alignment horizontal="left" indent="2"/>
    </xf>
    <xf numFmtId="49" fontId="1" fillId="0" borderId="0" xfId="0" applyNumberFormat="1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right" vertical="center" wrapText="1" indent="3"/>
    </xf>
    <xf numFmtId="0" fontId="1" fillId="0" borderId="0" xfId="0" applyFont="1" applyAlignment="1">
      <alignment horizontal="right" indent="3"/>
    </xf>
    <xf numFmtId="0" fontId="3" fillId="9" borderId="0" xfId="0" applyFont="1" applyFill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169" fontId="1" fillId="0" borderId="0" xfId="0" applyNumberFormat="1" applyFont="1"/>
    <xf numFmtId="3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8" borderId="0" xfId="0" applyFont="1" applyFill="1" applyAlignment="1">
      <alignment wrapText="1"/>
    </xf>
    <xf numFmtId="0" fontId="1" fillId="8" borderId="0" xfId="0" applyFont="1" applyFill="1" applyAlignment="1">
      <alignment horizontal="right" wrapText="1"/>
    </xf>
    <xf numFmtId="2" fontId="1" fillId="8" borderId="0" xfId="0" applyNumberFormat="1" applyFont="1" applyFill="1"/>
    <xf numFmtId="165" fontId="1" fillId="8" borderId="0" xfId="0" applyNumberFormat="1" applyFont="1" applyFill="1"/>
    <xf numFmtId="2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8" fontId="1" fillId="0" borderId="0" xfId="0" applyNumberFormat="1" applyFont="1"/>
    <xf numFmtId="170" fontId="1" fillId="8" borderId="0" xfId="0" applyNumberFormat="1" applyFont="1" applyFill="1"/>
    <xf numFmtId="169" fontId="1" fillId="8" borderId="0" xfId="0" applyNumberFormat="1" applyFont="1" applyFill="1"/>
    <xf numFmtId="10" fontId="1" fillId="8" borderId="0" xfId="0" applyNumberFormat="1" applyFont="1" applyFill="1"/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/>
    <xf numFmtId="0" fontId="1" fillId="15" borderId="0" xfId="0" applyFont="1" applyFill="1"/>
    <xf numFmtId="0" fontId="1" fillId="15" borderId="3" xfId="0" applyFont="1" applyFill="1" applyBorder="1"/>
    <xf numFmtId="1" fontId="8" fillId="14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71" fontId="5" fillId="0" borderId="0" xfId="0" applyNumberFormat="1" applyFont="1"/>
    <xf numFmtId="0" fontId="1" fillId="15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15" borderId="0" xfId="0" applyFont="1" applyFill="1" applyAlignment="1">
      <alignment wrapText="1"/>
    </xf>
    <xf numFmtId="0" fontId="1" fillId="15" borderId="0" xfId="0" applyFont="1" applyFill="1" applyAlignment="1">
      <alignment horizontal="center" wrapText="1"/>
    </xf>
    <xf numFmtId="171" fontId="1" fillId="0" borderId="3" xfId="0" applyNumberFormat="1" applyFont="1" applyBorder="1"/>
    <xf numFmtId="0" fontId="1" fillId="0" borderId="0" xfId="0" applyFont="1" applyAlignment="1"/>
    <xf numFmtId="3" fontId="1" fillId="0" borderId="1" xfId="0" applyNumberFormat="1" applyFont="1" applyBorder="1"/>
    <xf numFmtId="1" fontId="1" fillId="0" borderId="1" xfId="0" applyNumberFormat="1" applyFont="1" applyBorder="1"/>
    <xf numFmtId="10" fontId="1" fillId="0" borderId="1" xfId="0" applyNumberFormat="1" applyFont="1" applyBorder="1"/>
    <xf numFmtId="10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1" fillId="0" borderId="1" xfId="0" applyNumberFormat="1" applyFont="1" applyBorder="1"/>
    <xf numFmtId="3" fontId="1" fillId="0" borderId="1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3" fillId="9" borderId="0" xfId="0" applyFont="1" applyFill="1" applyAlignment="1"/>
    <xf numFmtId="1" fontId="1" fillId="0" borderId="1" xfId="0" applyNumberFormat="1" applyFont="1" applyBorder="1" applyAlignment="1">
      <alignment vertical="center"/>
    </xf>
    <xf numFmtId="165" fontId="1" fillId="0" borderId="0" xfId="0" applyNumberFormat="1" applyFont="1" applyAlignment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49" fontId="1" fillId="0" borderId="3" xfId="0" applyNumberFormat="1" applyFont="1" applyBorder="1"/>
    <xf numFmtId="0" fontId="1" fillId="0" borderId="0" xfId="0" applyFont="1" applyAlignment="1">
      <alignment vertical="center"/>
    </xf>
    <xf numFmtId="172" fontId="1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2" fontId="1" fillId="0" borderId="15" xfId="0" applyNumberFormat="1" applyFont="1" applyBorder="1" applyAlignment="1">
      <alignment vertical="center"/>
    </xf>
    <xf numFmtId="0" fontId="1" fillId="15" borderId="0" xfId="0" applyFont="1" applyFill="1" applyAlignment="1">
      <alignment horizontal="right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Border="1"/>
    <xf numFmtId="11" fontId="1" fillId="0" borderId="0" xfId="0" applyNumberFormat="1" applyFont="1"/>
    <xf numFmtId="10" fontId="5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49" fontId="1" fillId="0" borderId="0" xfId="0" applyNumberFormat="1" applyFont="1" applyBorder="1"/>
    <xf numFmtId="1" fontId="1" fillId="0" borderId="0" xfId="0" applyNumberFormat="1" applyFont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 vertical="center"/>
    </xf>
    <xf numFmtId="0" fontId="1" fillId="15" borderId="3" xfId="0" applyFont="1" applyFill="1" applyBorder="1" applyAlignment="1">
      <alignment horizontal="left" indent="3"/>
    </xf>
    <xf numFmtId="166" fontId="1" fillId="0" borderId="3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3" fillId="6" borderId="0" xfId="0" applyFont="1" applyFill="1"/>
    <xf numFmtId="0" fontId="3" fillId="16" borderId="0" xfId="0" applyFont="1" applyFill="1"/>
    <xf numFmtId="0" fontId="1" fillId="16" borderId="0" xfId="0" applyFont="1" applyFill="1"/>
    <xf numFmtId="0" fontId="3" fillId="16" borderId="0" xfId="0" applyFont="1" applyFill="1" applyAlignment="1">
      <alignment vertical="center"/>
    </xf>
    <xf numFmtId="3" fontId="1" fillId="0" borderId="0" xfId="0" applyNumberFormat="1" applyFont="1" applyBorder="1"/>
    <xf numFmtId="166" fontId="1" fillId="0" borderId="1" xfId="0" applyNumberFormat="1" applyFont="1" applyBorder="1"/>
    <xf numFmtId="2" fontId="1" fillId="0" borderId="1" xfId="0" applyNumberFormat="1" applyFont="1" applyBorder="1"/>
    <xf numFmtId="173" fontId="1" fillId="0" borderId="1" xfId="0" applyNumberFormat="1" applyFont="1" applyBorder="1"/>
    <xf numFmtId="3" fontId="5" fillId="0" borderId="0" xfId="0" applyNumberFormat="1" applyFont="1"/>
    <xf numFmtId="0" fontId="1" fillId="16" borderId="0" xfId="0" applyFont="1" applyFill="1" applyAlignment="1">
      <alignment horizontal="right"/>
    </xf>
    <xf numFmtId="0" fontId="1" fillId="8" borderId="0" xfId="0" applyFont="1" applyFill="1" applyAlignment="1">
      <alignment horizontal="left"/>
    </xf>
    <xf numFmtId="0" fontId="1" fillId="0" borderId="0" xfId="0" applyFont="1" applyAlignment="1">
      <alignment horizontal="right" indent="6"/>
    </xf>
    <xf numFmtId="49" fontId="1" fillId="0" borderId="16" xfId="0" applyNumberFormat="1" applyFont="1" applyBorder="1"/>
    <xf numFmtId="165" fontId="1" fillId="0" borderId="1" xfId="0" applyNumberFormat="1" applyFont="1" applyBorder="1"/>
    <xf numFmtId="0" fontId="3" fillId="9" borderId="0" xfId="0" applyFont="1" applyFill="1" applyBorder="1"/>
    <xf numFmtId="0" fontId="3" fillId="9" borderId="0" xfId="0" applyFont="1" applyFill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0" borderId="8" xfId="0" applyFont="1" applyFill="1" applyBorder="1"/>
    <xf numFmtId="3" fontId="1" fillId="17" borderId="17" xfId="0" applyNumberFormat="1" applyFont="1" applyFill="1" applyBorder="1"/>
    <xf numFmtId="10" fontId="1" fillId="18" borderId="17" xfId="0" applyNumberFormat="1" applyFont="1" applyFill="1" applyBorder="1"/>
    <xf numFmtId="10" fontId="1" fillId="8" borderId="17" xfId="0" applyNumberFormat="1" applyFont="1" applyFill="1" applyBorder="1"/>
    <xf numFmtId="2" fontId="1" fillId="19" borderId="17" xfId="0" applyNumberFormat="1" applyFont="1" applyFill="1" applyBorder="1"/>
    <xf numFmtId="0" fontId="1" fillId="18" borderId="17" xfId="0" applyFont="1" applyFill="1" applyBorder="1"/>
    <xf numFmtId="0" fontId="1" fillId="8" borderId="17" xfId="0" applyFont="1" applyFill="1" applyBorder="1"/>
    <xf numFmtId="3" fontId="2" fillId="17" borderId="17" xfId="0" applyNumberFormat="1" applyFont="1" applyFill="1" applyBorder="1"/>
    <xf numFmtId="4" fontId="2" fillId="19" borderId="17" xfId="0" applyNumberFormat="1" applyFont="1" applyFill="1" applyBorder="1"/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16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3" fillId="16" borderId="0" xfId="0" applyFont="1" applyFill="1" applyAlignment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9" fontId="0" fillId="0" borderId="20" xfId="0" applyNumberFormat="1" applyBorder="1" applyAlignment="1">
      <alignment horizontal="center" wrapText="1"/>
    </xf>
    <xf numFmtId="0" fontId="11" fillId="0" borderId="0" xfId="0" applyFont="1" applyAlignment="1">
      <alignment vertical="center"/>
    </xf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8" borderId="0" xfId="0" applyFont="1" applyFill="1" applyAlignment="1">
      <alignment horizontal="center" wrapText="1"/>
    </xf>
    <xf numFmtId="0" fontId="1" fillId="0" borderId="9" xfId="0" applyFont="1" applyBorder="1" applyAlignment="1">
      <alignment vertical="center" wrapText="1"/>
    </xf>
    <xf numFmtId="0" fontId="1" fillId="15" borderId="0" xfId="0" applyFont="1" applyFill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9" borderId="0" xfId="0" applyFont="1" applyFill="1" applyAlignment="1">
      <alignment horizontal="center"/>
    </xf>
    <xf numFmtId="0" fontId="1" fillId="0" borderId="9" xfId="0" applyFont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9" xfId="0" applyFont="1" applyBorder="1" applyAlignment="1">
      <alignment vertical="top" wrapText="1"/>
    </xf>
  </cellXfs>
  <cellStyles count="1">
    <cellStyle name="Normal" xfId="0" builtinId="0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69" formatCode="0.0000000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70" formatCode="0.0000%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68" formatCode="0.0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right" textRotation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67" formatCode="#,##0.0000"/>
      <fill>
        <patternFill patternType="solid">
          <fgColor indexed="64"/>
          <bgColor theme="4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67" formatCode="#,##0.0000"/>
      <fill>
        <patternFill patternType="solid">
          <fgColor indexed="64"/>
          <bgColor theme="5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fill>
        <patternFill patternType="solid">
          <fgColor indexed="64"/>
          <bgColor theme="7" tint="0.59999389629810485"/>
        </patternFill>
      </fill>
      <alignment horizontal="right" vertical="bottom" textRotation="0" wrapText="0" indent="0" justifyLastLine="0" shrinkToFit="0" readingOrder="0"/>
    </dxf>
    <dxf>
      <numFmt numFmtId="174" formatCode="\-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>
          <fgColor indexed="64"/>
          <bgColor theme="0" tint="-0.499984740745262"/>
        </patternFill>
      </fill>
    </dxf>
    <dxf>
      <font>
        <strike val="0"/>
        <outline val="0"/>
        <shadow val="0"/>
        <u val="none"/>
        <vertAlign val="baseline"/>
        <sz val="9.5"/>
        <name val="Times New Roman"/>
        <scheme val="none"/>
      </font>
    </dxf>
    <dxf>
      <font>
        <strike val="0"/>
        <outline val="0"/>
        <shadow val="0"/>
        <u val="none"/>
        <vertAlign val="baseline"/>
        <sz val="9.5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theme="0" tint="-0.499984740745262"/>
        </left>
        <right/>
        <top style="hair">
          <color theme="0" tint="-0.499984740745262"/>
        </top>
        <bottom style="hair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Times New Roman"/>
        <scheme val="none"/>
      </font>
      <fill>
        <patternFill patternType="solid">
          <fgColor indexed="64"/>
          <bgColor theme="1" tint="0.49998474074526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19050</xdr:colOff>
      <xdr:row>3</xdr:row>
      <xdr:rowOff>9525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7058025" cy="581025"/>
        </a:xfrm>
        <a:prstGeom prst="round2SameRect">
          <a:avLst>
            <a:gd name="adj1" fmla="val 36667"/>
            <a:gd name="adj2" fmla="val 0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</a:t>
          </a:r>
          <a:r>
            <a:rPr lang="en-US" sz="950" baseline="0"/>
            <a:t> </a:t>
          </a:r>
          <a:r>
            <a:rPr lang="en-US" sz="950"/>
            <a:t>20-07 (378) Risk Analysis</a:t>
          </a:r>
        </a:p>
        <a:p>
          <a:pPr algn="l"/>
          <a:r>
            <a:rPr lang="en-US" sz="1100" b="1"/>
            <a:t>Sheet</a:t>
          </a:r>
          <a:r>
            <a:rPr lang="en-US" sz="1100" b="1" baseline="0"/>
            <a:t> A -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Parameters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Scour 1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723900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Scour 2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Wildfire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Temperature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19050</xdr:colOff>
      <xdr:row>26</xdr:row>
      <xdr:rowOff>0</xdr:rowOff>
    </xdr:from>
    <xdr:to>
      <xdr:col>5</xdr:col>
      <xdr:colOff>0</xdr:colOff>
      <xdr:row>29</xdr:row>
      <xdr:rowOff>57149</xdr:rowOff>
    </xdr:to>
    <xdr:sp macro="" textlink="">
      <xdr:nvSpPr>
        <xdr:cNvPr id="3" name="Round Same Side Corner Rectangle 2"/>
        <xdr:cNvSpPr/>
      </xdr:nvSpPr>
      <xdr:spPr>
        <a:xfrm>
          <a:off x="19050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Temperature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Permafrost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495300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Overload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495300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Over-height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495300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Truck collision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Vessel collision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495300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4099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Advanced deterioration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11</xdr:col>
      <xdr:colOff>0</xdr:colOff>
      <xdr:row>3</xdr:row>
      <xdr:rowOff>9525</xdr:rowOff>
    </xdr:to>
    <xdr:sp macro="" textlink="">
      <xdr:nvSpPr>
        <xdr:cNvPr id="3" name="Round Same Side Corner Rectangle 2"/>
        <xdr:cNvSpPr/>
      </xdr:nvSpPr>
      <xdr:spPr>
        <a:xfrm>
          <a:off x="0" y="9526"/>
          <a:ext cx="7153275" cy="571499"/>
        </a:xfrm>
        <a:prstGeom prst="round2SameRect">
          <a:avLst>
            <a:gd name="adj1" fmla="val 36667"/>
            <a:gd name="adj2" fmla="val 0"/>
          </a:avLst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B - Project 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summary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398859</xdr:colOff>
      <xdr:row>3</xdr:row>
      <xdr:rowOff>57149</xdr:rowOff>
    </xdr:to>
    <xdr:sp macro="" textlink="">
      <xdr:nvSpPr>
        <xdr:cNvPr id="3" name="Round Same Side Corner Rectangle 2"/>
        <xdr:cNvSpPr/>
      </xdr:nvSpPr>
      <xdr:spPr>
        <a:xfrm>
          <a:off x="9525" y="0"/>
          <a:ext cx="4794647" cy="539352"/>
        </a:xfrm>
        <a:prstGeom prst="round2SameRect">
          <a:avLst>
            <a:gd name="adj1" fmla="val 36667"/>
            <a:gd name="adj2" fmla="val 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CQ - Cost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552450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4099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Fatigue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723900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CQ - Safety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19050</xdr:colOff>
      <xdr:row>33</xdr:row>
      <xdr:rowOff>0</xdr:rowOff>
    </xdr:from>
    <xdr:to>
      <xdr:col>11</xdr:col>
      <xdr:colOff>0</xdr:colOff>
      <xdr:row>36</xdr:row>
      <xdr:rowOff>57149</xdr:rowOff>
    </xdr:to>
    <xdr:sp macro="" textlink="">
      <xdr:nvSpPr>
        <xdr:cNvPr id="3" name="Round Same Side Corner Rectangle 2"/>
        <xdr:cNvSpPr/>
      </xdr:nvSpPr>
      <xdr:spPr>
        <a:xfrm>
          <a:off x="19050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CQ - Safety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723900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CQ - Mobility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723900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6232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CQ - Environmental sustainability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4" name="Round Same Side Corner Rectangle 3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Earthquake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9525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5" y="0"/>
          <a:ext cx="3381375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Assessment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Polling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Allocation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Landslide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Surge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Wind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</xdr:colOff>
      <xdr:row>3</xdr:row>
      <xdr:rowOff>57149</xdr:rowOff>
    </xdr:to>
    <xdr:sp macro="" textlink="">
      <xdr:nvSpPr>
        <xdr:cNvPr id="2" name="Round Same Side Corner Rectangle 1"/>
        <xdr:cNvSpPr/>
      </xdr:nvSpPr>
      <xdr:spPr>
        <a:xfrm>
          <a:off x="9526" y="0"/>
          <a:ext cx="3371850" cy="542924"/>
        </a:xfrm>
        <a:prstGeom prst="round2SameRect">
          <a:avLst>
            <a:gd name="adj1" fmla="val 36667"/>
            <a:gd name="adj2" fmla="val 0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50"/>
            <a:t>NCHRP 20-07 (378) Risk Analysis</a:t>
          </a:r>
        </a:p>
        <a:p>
          <a:pPr algn="l"/>
          <a:r>
            <a:rPr lang="en-US" sz="1200" b="1"/>
            <a:t>Sheet</a:t>
          </a:r>
          <a:r>
            <a:rPr lang="en-US" sz="1200" b="1" baseline="0"/>
            <a:t> LD - Flood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Scenarios" displayName="Scenarios" ref="A6:D16" totalsRowShown="0" headerRowDxfId="109" dataDxfId="108">
  <tableColumns count="4">
    <tableColumn id="1" name="ID" dataDxfId="107"/>
    <tableColumn id="2" name="Class" dataDxfId="106"/>
    <tableColumn id="3" name="Weight" dataDxfId="105"/>
    <tableColumn id="8" name="Description" dataDxfId="104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3" name="Table314" displayName="Table314" ref="A13:E23" totalsRowShown="0" headerRowDxfId="31" dataDxfId="30">
  <tableColumns count="5">
    <tableColumn id="1" name="ID" dataDxfId="29"/>
    <tableColumn id="2" name="Bridge" dataDxfId="28"/>
    <tableColumn id="3" name="Year" dataDxfId="27"/>
    <tableColumn id="4" name="Duration_x000a_(days)" dataDxfId="26"/>
    <tableColumn id="5" name="Impact" dataDxfId="2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8" name="Elements" displayName="Elements" ref="H36:M45" totalsRowShown="0" headerRowDxfId="24" dataDxfId="23">
  <tableColumns count="6">
    <tableColumn id="1" name="Element" dataDxfId="22"/>
    <tableColumn id="6" name="Component" dataDxfId="21"/>
    <tableColumn id="2" name="Quantity" dataDxfId="20"/>
    <tableColumn id="3" name="Replacement_x000a_unit cost" dataDxfId="19"/>
    <tableColumn id="4" name="Percent in state 3" dataDxfId="18">
      <calculatedColumnFormula>Elements[[#This Row],[Quantity]]*Elements[[#This Row],[Replacement
unit cost]]</calculatedColumnFormula>
    </tableColumn>
    <tableColumn id="5" name="Percent in state 4" dataDxfId="1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Components" displayName="Components" ref="O36:V39" totalsRowShown="0" headerRowDxfId="16" dataDxfId="15">
  <tableColumns count="8">
    <tableColumn id="1" name="Component" dataDxfId="14"/>
    <tableColumn id="2" name="Total value (TEV)" dataDxfId="13">
      <calculatedColumnFormula>SUMPRODUCT((Elements[Component]=Components[[#This Row],[Component]])*Elements[Quantity]*Elements[Replacement
unit cost])</calculatedColumnFormula>
    </tableColumn>
    <tableColumn id="3" name="State 3" dataDxfId="12">
      <calculatedColumnFormula>SUMPRODUCT((Elements[Component]=Components[[#This Row],[Component]])*Elements[Quantity]*Elements[Replacement
unit cost]*Elements[Percent in state 3])</calculatedColumnFormula>
    </tableColumn>
    <tableColumn id="4" name="State 4" dataDxfId="11">
      <calculatedColumnFormula>SUMPRODUCT((Elements[Component]=Components[[#This Row],[Component]])*Elements[Quantity]*Elements[Replacement
unit cost]*Elements[Percent in state 4])</calculatedColumnFormula>
    </tableColumn>
    <tableColumn id="5" name="Component weight" dataDxfId="10"/>
    <tableColumn id="6" name="Weight _x000a_state 3" dataDxfId="9"/>
    <tableColumn id="7" name="Weight _x000a_state 4" dataDxfId="8"/>
    <tableColumn id="8" name="Decay_x000a_index" dataDxfId="7">
      <calculatedColumnFormula>Components[[#This Row],[Component weight]]/Components[[#This Row],[Total value (TEV)]]*(Components[[#This Row],[State 3]]*Components[[#This Row],[Weight 
state 3]]+Components[[#This Row],[State 4]]*Components[[#This Row],[Weight 
state 4]])*100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e31016" displayName="Table31016" ref="A13:E23" totalsRowShown="0" headerRowDxfId="6" dataDxfId="5">
  <tableColumns count="5">
    <tableColumn id="1" name="ID" dataDxfId="4"/>
    <tableColumn id="2" name="Bridge" dataDxfId="3"/>
    <tableColumn id="3" name="Year" dataDxfId="2"/>
    <tableColumn id="4" name="Duration_x000a_(days)" dataDxfId="1"/>
    <tableColumn id="5" name="Impact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Criteria" displayName="Criteria" ref="A20:D24" totalsRowShown="0" headerRowDxfId="103" dataDxfId="102">
  <tableColumns count="4">
    <tableColumn id="4" name="ID" dataDxfId="101"/>
    <tableColumn id="1" name="Criterion" dataDxfId="100"/>
    <tableColumn id="2" name="Weight" dataDxfId="99"/>
    <tableColumn id="3" name="Description" dataDxfId="9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2" name="ProjConsq" displayName="ProjConsq" ref="A20:K30" totalsRowShown="0" headerRowDxfId="96" dataDxfId="95">
  <tableColumns count="11">
    <tableColumn id="1" name="ID" dataDxfId="94"/>
    <tableColumn id="2" name="Scenario" dataDxfId="93">
      <calculatedColumnFormula>IF(ISBLANK(INDEX(Scenarios[Class],ProjConsq[[#This Row],[ID]])),"",INDEX(Scenarios[Class],ProjConsq[[#This Row],[ID]]))</calculatedColumnFormula>
    </tableColumn>
    <tableColumn id="3" name="Cost" dataDxfId="92"/>
    <tableColumn id="4" name="Safety" dataDxfId="91"/>
    <tableColumn id="5" name="Mobility" dataDxfId="90"/>
    <tableColumn id="6" name="Environment" dataDxfId="89"/>
    <tableColumn id="7" name="blank1" dataDxfId="88"/>
    <tableColumn id="12" name="Extreme" dataDxfId="87"/>
    <tableColumn id="13" name="Disruption" dataDxfId="86"/>
    <tableColumn id="14" name="Weight" dataDxfId="85"/>
    <tableColumn id="15" name="Cost ($k)" dataDxfId="84">
      <calculatedColumnFormula>ProjConsq[[#This Row],[Weight]]*ProjConsq[[#This Row],[Extreme]]*ProjConsq[[#This Row],[Disruption]]*SUMPRODUCT(ProjConsq[[#This Row],[Cost]:[Environment]],CritWeight)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3:E23" totalsRowShown="0" headerRowDxfId="83" dataDxfId="82">
  <tableColumns count="5">
    <tableColumn id="1" name="ID" dataDxfId="81"/>
    <tableColumn id="2" name="Bridge" dataDxfId="80"/>
    <tableColumn id="3" name="Year" dataDxfId="79"/>
    <tableColumn id="4" name="Duration_x000a_(days)" dataDxfId="78"/>
    <tableColumn id="5" name="Impact" dataDxfId="7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Allocation" displayName="Allocation" ref="J47:T59" totalsRowShown="0" headerRowDxfId="76" dataDxfId="75">
  <tableColumns count="11">
    <tableColumn id="1" name="Bridge ID" dataDxfId="74"/>
    <tableColumn id="2" name="Matl" dataDxfId="73"/>
    <tableColumn id="3" name="MatlName" dataDxfId="72"/>
    <tableColumn id="4" name="Fuel" dataDxfId="71"/>
    <tableColumn id="5" name="FuelName" dataDxfId="70"/>
    <tableColumn id="6" name="Mitn" dataDxfId="69"/>
    <tableColumn id="7" name="MitnName" dataDxfId="68"/>
    <tableColumn id="13" name="Extreme" dataDxfId="67">
      <calculatedColumnFormula>0.0054</calculatedColumnFormula>
    </tableColumn>
    <tableColumn id="9" name="RelLike" dataDxfId="66">
      <calculatedColumnFormula>Allocation[[#This Row],[Matl]]*Allocation[[#This Row],[Fuel]]*Allocation[[#This Row],[Mitn]]*Allocation[Extreme]</calculatedColumnFormula>
    </tableColumn>
    <tableColumn id="11" name="AllocInc" dataDxfId="65">
      <calculatedColumnFormula>Allocation[[#This Row],[RelLike]]*$R$62</calculatedColumnFormula>
    </tableColumn>
    <tableColumn id="15" name="Final LE" dataDxfId="64">
      <calculatedColumnFormula>Allocation[[#This Row],[AllocInc]]/COUNT(Allocation[AllocInc])/Allocation[[#This Row],[Extreme]]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310" displayName="Table310" ref="A13:E23" totalsRowShown="0" headerRowDxfId="63" dataDxfId="62">
  <tableColumns count="5">
    <tableColumn id="1" name="ID" dataDxfId="61"/>
    <tableColumn id="2" name="Bridge" dataDxfId="60"/>
    <tableColumn id="3" name="Year" dataDxfId="59"/>
    <tableColumn id="4" name="Duration_x000a_(days)" dataDxfId="58"/>
    <tableColumn id="5" name="Impact" dataDxfId="5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e31011" displayName="Table31011" ref="A13:E23" totalsRowShown="0" headerRowDxfId="56" dataDxfId="55">
  <tableColumns count="5">
    <tableColumn id="1" name="ID" dataDxfId="54"/>
    <tableColumn id="2" name="Bridge" dataDxfId="53"/>
    <tableColumn id="3" name="Year" dataDxfId="52"/>
    <tableColumn id="4" name="Duration_x000a_(days)" dataDxfId="51"/>
    <tableColumn id="5" name="Impact" dataDxfId="5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le3101112" displayName="Table3101112" ref="A13:E23" totalsRowShown="0" headerRowDxfId="49" dataDxfId="48">
  <tableColumns count="5">
    <tableColumn id="1" name="ID" dataDxfId="47"/>
    <tableColumn id="2" name="Bridge" dataDxfId="46"/>
    <tableColumn id="3" name="Year" dataDxfId="45"/>
    <tableColumn id="4" name="Duration_x000a_(days)" dataDxfId="44"/>
    <tableColumn id="5" name="Impact" dataDxfId="4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2" name="Table31013" displayName="Table31013" ref="A13:E23" totalsRowShown="0" headerRowDxfId="38" dataDxfId="37">
  <tableColumns count="5">
    <tableColumn id="1" name="ID" dataDxfId="36"/>
    <tableColumn id="2" name="Bridge" dataDxfId="35"/>
    <tableColumn id="3" name="Year" dataDxfId="34"/>
    <tableColumn id="4" name="Duration_x000a_(days)" dataDxfId="33"/>
    <tableColumn id="5" name="Impact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H34"/>
  <sheetViews>
    <sheetView workbookViewId="0"/>
  </sheetViews>
  <sheetFormatPr defaultColWidth="9.28515625" defaultRowHeight="12.6" x14ac:dyDescent="0.25"/>
  <cols>
    <col min="1" max="1" width="4.85546875" style="3" customWidth="1"/>
    <col min="2" max="2" width="11.28515625" style="3" customWidth="1"/>
    <col min="3" max="3" width="8.85546875" style="3" bestFit="1" customWidth="1"/>
    <col min="4" max="4" width="97.7109375" style="61" customWidth="1"/>
    <col min="5" max="7" width="10.85546875" style="3" customWidth="1"/>
    <col min="8" max="8" width="53" style="3" customWidth="1"/>
    <col min="9" max="14" width="11.85546875" style="3" customWidth="1"/>
    <col min="15" max="34" width="10.85546875" style="3" customWidth="1"/>
    <col min="35" max="16384" width="9.28515625" style="3"/>
  </cols>
  <sheetData>
    <row r="5" spans="1:4" x14ac:dyDescent="0.25">
      <c r="A5" s="39" t="s">
        <v>7</v>
      </c>
      <c r="B5" s="39"/>
      <c r="C5" s="39"/>
      <c r="D5" s="39"/>
    </row>
    <row r="6" spans="1:4" x14ac:dyDescent="0.25">
      <c r="A6" s="40" t="s">
        <v>42</v>
      </c>
      <c r="B6" s="41" t="s">
        <v>27</v>
      </c>
      <c r="C6" s="42" t="s">
        <v>28</v>
      </c>
      <c r="D6" s="43" t="s">
        <v>26</v>
      </c>
    </row>
    <row r="7" spans="1:4" s="48" customFormat="1" ht="12.75" x14ac:dyDescent="0.2">
      <c r="A7" s="44">
        <v>1</v>
      </c>
      <c r="B7" s="45" t="s">
        <v>12</v>
      </c>
      <c r="C7" s="46">
        <v>1</v>
      </c>
      <c r="D7" s="47" t="s">
        <v>33</v>
      </c>
    </row>
    <row r="8" spans="1:4" x14ac:dyDescent="0.25">
      <c r="A8" s="44">
        <v>2</v>
      </c>
      <c r="B8" s="49" t="s">
        <v>30</v>
      </c>
      <c r="C8" s="50">
        <v>1</v>
      </c>
      <c r="D8" s="51" t="s">
        <v>32</v>
      </c>
    </row>
    <row r="9" spans="1:4" s="48" customFormat="1" ht="12.75" x14ac:dyDescent="0.2">
      <c r="A9" s="44">
        <v>3</v>
      </c>
      <c r="B9" s="52" t="s">
        <v>31</v>
      </c>
      <c r="C9" s="50">
        <v>1</v>
      </c>
      <c r="D9" s="51" t="s">
        <v>34</v>
      </c>
    </row>
    <row r="10" spans="1:4" x14ac:dyDescent="0.25">
      <c r="A10" s="44">
        <v>4</v>
      </c>
      <c r="B10" s="52" t="s">
        <v>29</v>
      </c>
      <c r="C10" s="50">
        <v>1</v>
      </c>
      <c r="D10" s="51" t="s">
        <v>37</v>
      </c>
    </row>
    <row r="11" spans="1:4" x14ac:dyDescent="0.25">
      <c r="A11" s="44">
        <v>5</v>
      </c>
      <c r="B11" s="52" t="s">
        <v>36</v>
      </c>
      <c r="C11" s="50">
        <v>1</v>
      </c>
      <c r="D11" s="51" t="s">
        <v>38</v>
      </c>
    </row>
    <row r="12" spans="1:4" x14ac:dyDescent="0.25">
      <c r="A12" s="44">
        <v>6</v>
      </c>
      <c r="B12" s="52" t="s">
        <v>39</v>
      </c>
      <c r="C12" s="50">
        <v>1</v>
      </c>
      <c r="D12" s="51" t="s">
        <v>45</v>
      </c>
    </row>
    <row r="13" spans="1:4" x14ac:dyDescent="0.25">
      <c r="A13" s="44">
        <v>7</v>
      </c>
      <c r="B13" s="52" t="s">
        <v>40</v>
      </c>
      <c r="C13" s="50">
        <v>1</v>
      </c>
      <c r="D13" s="51" t="s">
        <v>41</v>
      </c>
    </row>
    <row r="14" spans="1:4" x14ac:dyDescent="0.25">
      <c r="A14" s="44">
        <v>8</v>
      </c>
      <c r="B14" s="52"/>
      <c r="C14" s="50"/>
      <c r="D14" s="51"/>
    </row>
    <row r="15" spans="1:4" x14ac:dyDescent="0.25">
      <c r="A15" s="44">
        <v>9</v>
      </c>
      <c r="B15" s="52"/>
      <c r="C15" s="50"/>
      <c r="D15" s="51"/>
    </row>
    <row r="16" spans="1:4" x14ac:dyDescent="0.25">
      <c r="A16" s="44">
        <v>10</v>
      </c>
      <c r="B16" s="52"/>
      <c r="C16" s="50"/>
      <c r="D16" s="51"/>
    </row>
    <row r="17" spans="1:8" x14ac:dyDescent="0.25">
      <c r="D17" s="53" t="s">
        <v>35</v>
      </c>
    </row>
    <row r="19" spans="1:8" x14ac:dyDescent="0.25">
      <c r="A19" s="39" t="s">
        <v>11</v>
      </c>
      <c r="B19" s="39"/>
      <c r="C19" s="39"/>
      <c r="D19" s="39"/>
    </row>
    <row r="20" spans="1:8" x14ac:dyDescent="0.25">
      <c r="A20" s="54" t="s">
        <v>42</v>
      </c>
      <c r="B20" s="55" t="s">
        <v>53</v>
      </c>
      <c r="C20" s="56" t="s">
        <v>28</v>
      </c>
      <c r="D20" s="55" t="s">
        <v>26</v>
      </c>
    </row>
    <row r="21" spans="1:8" x14ac:dyDescent="0.25">
      <c r="A21" s="57">
        <v>1</v>
      </c>
      <c r="B21" s="3" t="s">
        <v>10</v>
      </c>
      <c r="C21" s="58">
        <v>1</v>
      </c>
      <c r="D21" s="59" t="s">
        <v>55</v>
      </c>
      <c r="F21" s="60"/>
      <c r="G21" s="60"/>
      <c r="H21" s="60"/>
    </row>
    <row r="22" spans="1:8" x14ac:dyDescent="0.25">
      <c r="A22" s="57">
        <v>2</v>
      </c>
      <c r="B22" s="3" t="s">
        <v>8</v>
      </c>
      <c r="C22" s="58">
        <v>1</v>
      </c>
      <c r="D22" s="61" t="s">
        <v>56</v>
      </c>
    </row>
    <row r="23" spans="1:8" x14ac:dyDescent="0.25">
      <c r="A23" s="57">
        <v>3</v>
      </c>
      <c r="B23" s="3" t="s">
        <v>9</v>
      </c>
      <c r="C23" s="58">
        <v>1</v>
      </c>
      <c r="D23" s="61" t="s">
        <v>57</v>
      </c>
    </row>
    <row r="24" spans="1:8" x14ac:dyDescent="0.25">
      <c r="A24" s="57">
        <v>4</v>
      </c>
      <c r="B24" s="3" t="s">
        <v>18</v>
      </c>
      <c r="C24" s="58">
        <v>1</v>
      </c>
      <c r="D24" s="61" t="s">
        <v>54</v>
      </c>
    </row>
    <row r="28" spans="1:8" x14ac:dyDescent="0.25">
      <c r="D28" s="3"/>
    </row>
    <row r="29" spans="1:8" x14ac:dyDescent="0.25">
      <c r="D29" s="3"/>
    </row>
    <row r="30" spans="1:8" x14ac:dyDescent="0.25">
      <c r="D30" s="3"/>
    </row>
    <row r="31" spans="1:8" x14ac:dyDescent="0.25">
      <c r="D31" s="3"/>
    </row>
    <row r="32" spans="1:8" x14ac:dyDescent="0.25">
      <c r="D32" s="3"/>
    </row>
    <row r="33" s="3" customFormat="1" x14ac:dyDescent="0.25"/>
    <row r="34" s="3" customFormat="1" x14ac:dyDescent="0.25"/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4:L53"/>
  <sheetViews>
    <sheetView showGridLines="0" topLeftCell="A23" workbookViewId="0">
      <selection activeCell="B27" sqref="B27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6" width="9.28515625" style="3"/>
    <col min="7" max="7" width="5.42578125" style="3" customWidth="1"/>
    <col min="8" max="8" width="28.42578125" style="3" bestFit="1" customWidth="1"/>
    <col min="9" max="12" width="6.28515625" style="3" customWidth="1"/>
    <col min="13" max="13" width="8.85546875" style="3" customWidth="1"/>
    <col min="14" max="14" width="10.85546875" style="3" customWidth="1"/>
    <col min="15" max="15" width="8.85546875" style="3" customWidth="1"/>
    <col min="16" max="16" width="10.85546875" style="3" customWidth="1"/>
    <col min="17" max="20" width="12.85546875" style="3" customWidth="1"/>
    <col min="21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224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117</v>
      </c>
      <c r="C7" s="221" t="s">
        <v>118</v>
      </c>
      <c r="D7" s="222"/>
      <c r="E7" s="223"/>
    </row>
    <row r="8" spans="1:5" ht="8.1" customHeight="1" x14ac:dyDescent="0.25"/>
    <row r="9" spans="1:5" x14ac:dyDescent="0.25">
      <c r="A9" s="68" t="s">
        <v>108</v>
      </c>
      <c r="B9" s="68"/>
      <c r="C9" s="68"/>
      <c r="D9" s="68"/>
      <c r="E9" s="68"/>
    </row>
    <row r="10" spans="1:5" s="48" customFormat="1" ht="30" customHeight="1" x14ac:dyDescent="0.2">
      <c r="A10" s="95">
        <v>1</v>
      </c>
      <c r="B10" s="230" t="s">
        <v>153</v>
      </c>
      <c r="C10" s="230"/>
      <c r="D10" s="236"/>
      <c r="E10" s="81">
        <v>20</v>
      </c>
    </row>
    <row r="11" spans="1:5" s="48" customFormat="1" ht="30" customHeight="1" x14ac:dyDescent="0.2">
      <c r="A11" s="95">
        <v>2</v>
      </c>
      <c r="B11" s="230" t="s">
        <v>115</v>
      </c>
      <c r="C11" s="230"/>
      <c r="D11" s="236"/>
      <c r="E11" s="81">
        <v>500</v>
      </c>
    </row>
    <row r="12" spans="1:5" s="48" customFormat="1" ht="30" customHeight="1" x14ac:dyDescent="0.2">
      <c r="A12" s="95">
        <v>3</v>
      </c>
      <c r="B12" s="230" t="s">
        <v>119</v>
      </c>
      <c r="C12" s="230"/>
      <c r="D12" s="236"/>
      <c r="E12" s="81">
        <v>15.3</v>
      </c>
    </row>
    <row r="13" spans="1:5" ht="8.1" customHeight="1" x14ac:dyDescent="0.25"/>
    <row r="14" spans="1:5" x14ac:dyDescent="0.25">
      <c r="A14" s="68" t="s">
        <v>89</v>
      </c>
      <c r="B14" s="68"/>
      <c r="C14" s="68"/>
      <c r="D14" s="68"/>
      <c r="E14" s="68"/>
    </row>
    <row r="15" spans="1:5" x14ac:dyDescent="0.25">
      <c r="A15" s="68"/>
      <c r="D15" s="5" t="s">
        <v>109</v>
      </c>
      <c r="E15" s="5" t="s">
        <v>110</v>
      </c>
    </row>
    <row r="16" spans="1:5" x14ac:dyDescent="0.25">
      <c r="A16" s="68">
        <v>4</v>
      </c>
      <c r="B16" s="3" t="s">
        <v>120</v>
      </c>
      <c r="D16" s="99">
        <v>5744</v>
      </c>
      <c r="E16" s="99">
        <v>10092</v>
      </c>
    </row>
    <row r="17" spans="1:12" x14ac:dyDescent="0.25">
      <c r="A17" s="68">
        <v>5</v>
      </c>
      <c r="B17" s="3" t="s">
        <v>111</v>
      </c>
      <c r="D17" s="100">
        <v>10500</v>
      </c>
      <c r="E17" s="100">
        <v>12000</v>
      </c>
    </row>
    <row r="18" spans="1:12" x14ac:dyDescent="0.25">
      <c r="A18" s="68">
        <v>6</v>
      </c>
      <c r="B18" s="3" t="s">
        <v>114</v>
      </c>
      <c r="D18" s="100">
        <v>10540</v>
      </c>
      <c r="E18" s="100">
        <v>11965</v>
      </c>
    </row>
    <row r="19" spans="1:12" ht="3.9" customHeight="1" x14ac:dyDescent="0.25">
      <c r="A19" s="68"/>
      <c r="D19" s="96"/>
      <c r="E19" s="96"/>
    </row>
    <row r="20" spans="1:12" x14ac:dyDescent="0.25">
      <c r="A20" s="68"/>
      <c r="D20" s="98" t="s">
        <v>121</v>
      </c>
      <c r="E20" s="98" t="s">
        <v>122</v>
      </c>
    </row>
    <row r="21" spans="1:12" x14ac:dyDescent="0.25">
      <c r="A21" s="68">
        <v>7</v>
      </c>
      <c r="B21" s="3" t="s">
        <v>123</v>
      </c>
      <c r="D21" s="33">
        <f>(($E$17)/($D$17))^(1/$E$10)-1</f>
        <v>6.6989076082608623E-3</v>
      </c>
      <c r="E21" s="58">
        <f>(1-(1+D21)^(-$E$10))/D21</f>
        <v>18.659758771095401</v>
      </c>
    </row>
    <row r="22" spans="1:12" x14ac:dyDescent="0.25">
      <c r="A22" s="68">
        <v>8</v>
      </c>
      <c r="B22" s="3" t="s">
        <v>124</v>
      </c>
      <c r="D22" s="33">
        <f>(($E$16*$E$17*$E$18)/($D$16*$D$17*$D$18))^(1/$E$10)-1</f>
        <v>4.2056681302522048E-2</v>
      </c>
      <c r="E22" s="58">
        <f>(1-(1+D22)^(-$E$10))/D22</f>
        <v>13.346141699576801</v>
      </c>
    </row>
    <row r="23" spans="1:12" ht="3.9" customHeight="1" x14ac:dyDescent="0.25">
      <c r="A23" s="68"/>
      <c r="D23" s="33"/>
      <c r="E23" s="58"/>
    </row>
    <row r="24" spans="1:12" ht="30" customHeight="1" x14ac:dyDescent="0.25">
      <c r="A24" s="95">
        <v>9</v>
      </c>
      <c r="B24" s="230" t="s">
        <v>450</v>
      </c>
      <c r="C24" s="230"/>
      <c r="D24" s="230"/>
      <c r="E24" s="108">
        <f>E11/E21</f>
        <v>26.795630433042735</v>
      </c>
    </row>
    <row r="25" spans="1:12" ht="30" customHeight="1" x14ac:dyDescent="0.25">
      <c r="A25" s="95">
        <v>10</v>
      </c>
      <c r="B25" s="230" t="s">
        <v>452</v>
      </c>
      <c r="C25" s="230"/>
      <c r="D25" s="230"/>
      <c r="E25" s="109">
        <f>E12*1000000/E22/E24/E18</f>
        <v>3.5756830596542382</v>
      </c>
    </row>
    <row r="27" spans="1:12" x14ac:dyDescent="0.25">
      <c r="B27" s="3" t="s">
        <v>511</v>
      </c>
    </row>
    <row r="28" spans="1:12" x14ac:dyDescent="0.25">
      <c r="B28" s="214" t="s">
        <v>512</v>
      </c>
    </row>
    <row r="30" spans="1:12" x14ac:dyDescent="0.25">
      <c r="G30" s="68" t="s">
        <v>220</v>
      </c>
      <c r="H30" s="68"/>
      <c r="I30" s="68"/>
      <c r="J30" s="68"/>
      <c r="K30" s="68"/>
      <c r="L30" s="68"/>
    </row>
    <row r="31" spans="1:12" x14ac:dyDescent="0.25">
      <c r="G31" s="115"/>
      <c r="H31" s="115"/>
      <c r="I31" s="237" t="s">
        <v>221</v>
      </c>
      <c r="J31" s="237"/>
      <c r="K31" s="237"/>
      <c r="L31" s="237"/>
    </row>
    <row r="32" spans="1:12" x14ac:dyDescent="0.25">
      <c r="G32" s="115" t="s">
        <v>182</v>
      </c>
      <c r="H32" s="115" t="s">
        <v>26</v>
      </c>
      <c r="I32" s="114" t="s">
        <v>68</v>
      </c>
      <c r="J32" s="114">
        <v>2</v>
      </c>
      <c r="K32" s="114">
        <v>3</v>
      </c>
      <c r="L32" s="114">
        <v>4</v>
      </c>
    </row>
    <row r="33" spans="7:12" x14ac:dyDescent="0.25">
      <c r="G33" s="117" t="s">
        <v>183</v>
      </c>
      <c r="H33" s="119" t="s">
        <v>184</v>
      </c>
      <c r="I33" s="118">
        <v>100</v>
      </c>
      <c r="J33" s="118">
        <v>100</v>
      </c>
      <c r="K33" s="118">
        <v>100</v>
      </c>
      <c r="L33" s="118">
        <v>100</v>
      </c>
    </row>
    <row r="34" spans="7:12" x14ac:dyDescent="0.25">
      <c r="G34" s="117" t="s">
        <v>185</v>
      </c>
      <c r="H34" s="119" t="s">
        <v>186</v>
      </c>
      <c r="I34" s="118">
        <v>100</v>
      </c>
      <c r="J34" s="118">
        <v>100</v>
      </c>
      <c r="K34" s="118">
        <v>100</v>
      </c>
      <c r="L34" s="118">
        <v>100</v>
      </c>
    </row>
    <row r="35" spans="7:12" x14ac:dyDescent="0.25">
      <c r="G35" s="117" t="s">
        <v>187</v>
      </c>
      <c r="H35" s="119" t="s">
        <v>188</v>
      </c>
      <c r="I35" s="118">
        <v>90</v>
      </c>
      <c r="J35" s="118">
        <v>90</v>
      </c>
      <c r="K35" s="118">
        <v>70</v>
      </c>
      <c r="L35" s="118">
        <v>40</v>
      </c>
    </row>
    <row r="36" spans="7:12" x14ac:dyDescent="0.25">
      <c r="G36" s="117" t="s">
        <v>189</v>
      </c>
      <c r="H36" s="119" t="s">
        <v>190</v>
      </c>
      <c r="I36" s="118">
        <v>90</v>
      </c>
      <c r="J36" s="118">
        <v>90</v>
      </c>
      <c r="K36" s="118">
        <v>70</v>
      </c>
      <c r="L36" s="118">
        <v>40</v>
      </c>
    </row>
    <row r="37" spans="7:12" x14ac:dyDescent="0.25">
      <c r="G37" s="117" t="s">
        <v>191</v>
      </c>
      <c r="H37" s="119" t="s">
        <v>192</v>
      </c>
      <c r="I37" s="118">
        <v>80</v>
      </c>
      <c r="J37" s="118">
        <v>80</v>
      </c>
      <c r="K37" s="118">
        <v>60</v>
      </c>
      <c r="L37" s="118">
        <v>30</v>
      </c>
    </row>
    <row r="38" spans="7:12" x14ac:dyDescent="0.25">
      <c r="G38" s="117" t="s">
        <v>193</v>
      </c>
      <c r="H38" s="119" t="s">
        <v>194</v>
      </c>
      <c r="I38" s="118">
        <v>70</v>
      </c>
      <c r="J38" s="118">
        <v>70</v>
      </c>
      <c r="K38" s="118">
        <v>50</v>
      </c>
      <c r="L38" s="118">
        <v>30</v>
      </c>
    </row>
    <row r="39" spans="7:12" x14ac:dyDescent="0.25">
      <c r="G39" s="117" t="s">
        <v>195</v>
      </c>
      <c r="H39" s="119" t="s">
        <v>196</v>
      </c>
      <c r="I39" s="118">
        <v>70</v>
      </c>
      <c r="J39" s="118">
        <v>70</v>
      </c>
      <c r="K39" s="118">
        <v>50</v>
      </c>
      <c r="L39" s="118">
        <v>30</v>
      </c>
    </row>
    <row r="40" spans="7:12" x14ac:dyDescent="0.25">
      <c r="G40" s="117" t="s">
        <v>197</v>
      </c>
      <c r="H40" s="119" t="s">
        <v>198</v>
      </c>
      <c r="I40" s="118">
        <v>60</v>
      </c>
      <c r="J40" s="118">
        <v>60</v>
      </c>
      <c r="K40" s="118">
        <v>40</v>
      </c>
      <c r="L40" s="118">
        <v>20</v>
      </c>
    </row>
    <row r="41" spans="7:12" x14ac:dyDescent="0.25">
      <c r="G41" s="117" t="s">
        <v>199</v>
      </c>
      <c r="H41" s="119" t="s">
        <v>200</v>
      </c>
      <c r="I41" s="118">
        <v>60</v>
      </c>
      <c r="J41" s="118">
        <v>60</v>
      </c>
      <c r="K41" s="118">
        <v>30</v>
      </c>
      <c r="L41" s="118">
        <v>20</v>
      </c>
    </row>
    <row r="42" spans="7:12" x14ac:dyDescent="0.25">
      <c r="G42" s="117" t="s">
        <v>201</v>
      </c>
      <c r="H42" s="119" t="s">
        <v>202</v>
      </c>
      <c r="I42" s="118">
        <v>50</v>
      </c>
      <c r="J42" s="118">
        <v>50</v>
      </c>
      <c r="K42" s="118">
        <v>40</v>
      </c>
      <c r="L42" s="118">
        <v>20</v>
      </c>
    </row>
    <row r="43" spans="7:12" x14ac:dyDescent="0.25">
      <c r="G43" s="117" t="s">
        <v>203</v>
      </c>
      <c r="H43" s="119" t="s">
        <v>204</v>
      </c>
      <c r="I43" s="118">
        <v>50</v>
      </c>
      <c r="J43" s="118">
        <v>50</v>
      </c>
      <c r="K43" s="118">
        <v>25</v>
      </c>
      <c r="L43" s="118">
        <v>20</v>
      </c>
    </row>
    <row r="44" spans="7:12" x14ac:dyDescent="0.25">
      <c r="G44" s="117" t="s">
        <v>205</v>
      </c>
      <c r="H44" s="119" t="s">
        <v>206</v>
      </c>
      <c r="I44" s="118">
        <v>40</v>
      </c>
      <c r="J44" s="118">
        <v>40</v>
      </c>
      <c r="K44" s="118">
        <v>30</v>
      </c>
      <c r="L44" s="118">
        <v>10</v>
      </c>
    </row>
    <row r="45" spans="7:12" x14ac:dyDescent="0.25">
      <c r="G45" s="117" t="s">
        <v>207</v>
      </c>
      <c r="H45" s="119" t="s">
        <v>208</v>
      </c>
      <c r="I45" s="118">
        <v>40</v>
      </c>
      <c r="J45" s="118">
        <v>40</v>
      </c>
      <c r="K45" s="118">
        <v>20</v>
      </c>
      <c r="L45" s="118">
        <v>10</v>
      </c>
    </row>
    <row r="46" spans="7:12" x14ac:dyDescent="0.25">
      <c r="G46" s="117" t="s">
        <v>209</v>
      </c>
      <c r="H46" s="119" t="s">
        <v>210</v>
      </c>
      <c r="I46" s="118">
        <v>20</v>
      </c>
      <c r="J46" s="118">
        <v>20</v>
      </c>
      <c r="K46" s="118">
        <v>15</v>
      </c>
      <c r="L46" s="118">
        <v>10</v>
      </c>
    </row>
    <row r="47" spans="7:12" x14ac:dyDescent="0.25">
      <c r="G47" s="117" t="s">
        <v>211</v>
      </c>
      <c r="H47" s="119" t="s">
        <v>212</v>
      </c>
      <c r="I47" s="118">
        <v>10</v>
      </c>
      <c r="J47" s="118">
        <v>10</v>
      </c>
      <c r="K47" s="118">
        <v>5</v>
      </c>
      <c r="L47" s="118">
        <v>0</v>
      </c>
    </row>
    <row r="48" spans="7:12" x14ac:dyDescent="0.25">
      <c r="G48" s="117" t="s">
        <v>213</v>
      </c>
      <c r="H48" s="119" t="s">
        <v>214</v>
      </c>
      <c r="I48" s="118">
        <v>0</v>
      </c>
      <c r="J48" s="118">
        <v>0</v>
      </c>
      <c r="K48" s="118">
        <v>0</v>
      </c>
      <c r="L48" s="118">
        <v>0</v>
      </c>
    </row>
    <row r="49" spans="7:12" x14ac:dyDescent="0.25">
      <c r="G49" s="117" t="s">
        <v>215</v>
      </c>
      <c r="H49" s="119" t="s">
        <v>216</v>
      </c>
      <c r="I49" s="118">
        <v>0</v>
      </c>
      <c r="J49" s="118">
        <v>0</v>
      </c>
      <c r="K49" s="118">
        <v>0</v>
      </c>
      <c r="L49" s="118">
        <v>0</v>
      </c>
    </row>
    <row r="50" spans="7:12" x14ac:dyDescent="0.25">
      <c r="G50" s="117" t="s">
        <v>217</v>
      </c>
      <c r="H50" s="119" t="s">
        <v>218</v>
      </c>
      <c r="I50" s="118">
        <v>0</v>
      </c>
      <c r="J50" s="118">
        <v>0</v>
      </c>
      <c r="K50" s="118">
        <v>0</v>
      </c>
      <c r="L50" s="118">
        <v>0</v>
      </c>
    </row>
    <row r="51" spans="7:12" ht="3.9" customHeight="1" x14ac:dyDescent="0.25"/>
    <row r="52" spans="7:12" x14ac:dyDescent="0.25">
      <c r="G52" s="115" t="s">
        <v>219</v>
      </c>
      <c r="H52" s="115"/>
      <c r="I52" s="115"/>
      <c r="J52" s="115"/>
      <c r="K52" s="115"/>
      <c r="L52" s="115"/>
    </row>
    <row r="53" spans="7:12" x14ac:dyDescent="0.25">
      <c r="G53" s="3" t="s">
        <v>222</v>
      </c>
    </row>
  </sheetData>
  <mergeCells count="8">
    <mergeCell ref="B25:D25"/>
    <mergeCell ref="I31:L31"/>
    <mergeCell ref="C5:E5"/>
    <mergeCell ref="C7:E7"/>
    <mergeCell ref="B10:D10"/>
    <mergeCell ref="B11:D11"/>
    <mergeCell ref="B12:D12"/>
    <mergeCell ref="B24:D24"/>
  </mergeCells>
  <conditionalFormatting sqref="I33:L50">
    <cfRule type="expression" dxfId="42" priority="1">
      <formula>I33&lt;30</formula>
    </cfRule>
    <cfRule type="expression" dxfId="41" priority="2">
      <formula>I33&lt;50</formula>
    </cfRule>
    <cfRule type="expression" dxfId="40" priority="3">
      <formula>I33&lt;60</formula>
    </cfRule>
    <cfRule type="expression" dxfId="39" priority="4">
      <formula>I33&lt;80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4:Y68"/>
  <sheetViews>
    <sheetView showGridLines="0" workbookViewId="0">
      <selection activeCell="B21" sqref="B21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6" width="9.28515625" style="3"/>
    <col min="7" max="7" width="36" style="3" bestFit="1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67"/>
    </row>
    <row r="5" spans="1:5" x14ac:dyDescent="0.25">
      <c r="A5" s="67"/>
      <c r="B5" s="4" t="s">
        <v>1</v>
      </c>
      <c r="C5" s="215" t="s">
        <v>0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66</v>
      </c>
      <c r="C7" s="221" t="s">
        <v>223</v>
      </c>
      <c r="D7" s="222"/>
      <c r="E7" s="223"/>
    </row>
    <row r="8" spans="1:5" ht="8.1" customHeight="1" x14ac:dyDescent="0.25"/>
    <row r="9" spans="1:5" x14ac:dyDescent="0.25">
      <c r="A9" s="68" t="s">
        <v>67</v>
      </c>
      <c r="B9" s="68"/>
      <c r="C9" s="68"/>
      <c r="D9" s="68"/>
      <c r="E9" s="68"/>
    </row>
    <row r="10" spans="1:5" ht="3.9" customHeight="1" x14ac:dyDescent="0.25">
      <c r="A10" s="67"/>
    </row>
    <row r="11" spans="1:5" x14ac:dyDescent="0.25">
      <c r="A11" s="68">
        <v>1</v>
      </c>
      <c r="B11" s="4" t="s">
        <v>225</v>
      </c>
      <c r="C11" s="238" t="s">
        <v>49</v>
      </c>
      <c r="D11" s="239"/>
      <c r="E11" s="240"/>
    </row>
    <row r="12" spans="1:5" x14ac:dyDescent="0.25">
      <c r="A12" s="68">
        <v>2</v>
      </c>
      <c r="B12" s="3" t="s">
        <v>226</v>
      </c>
      <c r="E12" s="120">
        <v>3</v>
      </c>
    </row>
    <row r="13" spans="1:5" x14ac:dyDescent="0.25">
      <c r="A13" s="68">
        <v>3</v>
      </c>
      <c r="B13" s="3" t="s">
        <v>282</v>
      </c>
      <c r="E13" s="121" t="s">
        <v>207</v>
      </c>
    </row>
    <row r="14" spans="1:5" ht="3.9" customHeight="1" x14ac:dyDescent="0.25">
      <c r="A14" s="68"/>
    </row>
    <row r="15" spans="1:5" x14ac:dyDescent="0.25">
      <c r="A15" s="68">
        <v>4</v>
      </c>
      <c r="B15" s="3" t="s">
        <v>229</v>
      </c>
      <c r="E15" s="120">
        <v>5</v>
      </c>
    </row>
    <row r="16" spans="1:5" x14ac:dyDescent="0.25">
      <c r="A16" s="68">
        <v>5</v>
      </c>
      <c r="B16" s="3" t="s">
        <v>230</v>
      </c>
      <c r="E16" s="120">
        <v>6</v>
      </c>
    </row>
    <row r="17" spans="1:18" x14ac:dyDescent="0.25">
      <c r="A17" s="68">
        <v>6</v>
      </c>
      <c r="B17" s="3" t="s">
        <v>283</v>
      </c>
      <c r="E17" s="121">
        <v>5</v>
      </c>
    </row>
    <row r="18" spans="1:18" ht="3.9" customHeight="1" x14ac:dyDescent="0.25">
      <c r="A18" s="68"/>
    </row>
    <row r="19" spans="1:18" x14ac:dyDescent="0.25">
      <c r="A19" s="68">
        <v>7</v>
      </c>
      <c r="B19" s="3" t="s">
        <v>284</v>
      </c>
      <c r="E19" s="122">
        <v>5.0000000000000001E-4</v>
      </c>
    </row>
    <row r="21" spans="1:18" x14ac:dyDescent="0.25">
      <c r="B21" s="3" t="s">
        <v>511</v>
      </c>
    </row>
    <row r="22" spans="1:18" x14ac:dyDescent="0.25">
      <c r="G22" s="68" t="s">
        <v>240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 x14ac:dyDescent="0.25">
      <c r="G23" s="116"/>
      <c r="H23" s="116" t="s">
        <v>226</v>
      </c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spans="1:18" x14ac:dyDescent="0.25">
      <c r="G24" s="116" t="s">
        <v>239</v>
      </c>
      <c r="H24" s="123">
        <v>0</v>
      </c>
      <c r="I24" s="123">
        <v>1</v>
      </c>
      <c r="J24" s="123">
        <v>2</v>
      </c>
      <c r="K24" s="123">
        <v>3</v>
      </c>
      <c r="L24" s="123">
        <v>4</v>
      </c>
      <c r="M24" s="123">
        <v>5</v>
      </c>
      <c r="N24" s="123">
        <v>6</v>
      </c>
      <c r="O24" s="123">
        <v>7</v>
      </c>
      <c r="P24" s="123">
        <v>8</v>
      </c>
      <c r="Q24" s="123">
        <v>9</v>
      </c>
      <c r="R24" s="123" t="s">
        <v>191</v>
      </c>
    </row>
    <row r="25" spans="1:18" x14ac:dyDescent="0.25">
      <c r="G25" s="117" t="s">
        <v>234</v>
      </c>
      <c r="H25" s="124" t="s">
        <v>203</v>
      </c>
      <c r="I25" s="124" t="s">
        <v>203</v>
      </c>
      <c r="J25" s="124" t="s">
        <v>207</v>
      </c>
      <c r="K25" s="124" t="s">
        <v>207</v>
      </c>
      <c r="L25" s="124" t="s">
        <v>207</v>
      </c>
      <c r="M25" s="124" t="s">
        <v>207</v>
      </c>
      <c r="N25" s="124" t="s">
        <v>227</v>
      </c>
      <c r="O25" s="124" t="s">
        <v>227</v>
      </c>
      <c r="P25" s="124" t="s">
        <v>227</v>
      </c>
      <c r="Q25" s="124" t="s">
        <v>211</v>
      </c>
      <c r="R25" s="124" t="s">
        <v>191</v>
      </c>
    </row>
    <row r="26" spans="1:18" x14ac:dyDescent="0.25">
      <c r="G26" s="117" t="s">
        <v>232</v>
      </c>
      <c r="H26" s="124" t="s">
        <v>203</v>
      </c>
      <c r="I26" s="124" t="s">
        <v>203</v>
      </c>
      <c r="J26" s="124" t="s">
        <v>201</v>
      </c>
      <c r="K26" s="124" t="s">
        <v>207</v>
      </c>
      <c r="L26" s="124" t="s">
        <v>207</v>
      </c>
      <c r="M26" s="124" t="s">
        <v>207</v>
      </c>
      <c r="N26" s="124" t="s">
        <v>227</v>
      </c>
      <c r="O26" s="124" t="s">
        <v>227</v>
      </c>
      <c r="P26" s="124" t="s">
        <v>227</v>
      </c>
      <c r="Q26" s="124" t="s">
        <v>211</v>
      </c>
      <c r="R26" s="124" t="s">
        <v>191</v>
      </c>
    </row>
    <row r="27" spans="1:18" x14ac:dyDescent="0.25">
      <c r="G27" s="117" t="s">
        <v>235</v>
      </c>
      <c r="H27" s="124" t="s">
        <v>203</v>
      </c>
      <c r="I27" s="124" t="s">
        <v>203</v>
      </c>
      <c r="J27" s="124" t="s">
        <v>201</v>
      </c>
      <c r="K27" s="124" t="s">
        <v>207</v>
      </c>
      <c r="L27" s="124" t="s">
        <v>207</v>
      </c>
      <c r="M27" s="124" t="s">
        <v>207</v>
      </c>
      <c r="N27" s="124" t="s">
        <v>227</v>
      </c>
      <c r="O27" s="124" t="s">
        <v>227</v>
      </c>
      <c r="P27" s="124" t="s">
        <v>227</v>
      </c>
      <c r="Q27" s="124" t="s">
        <v>211</v>
      </c>
      <c r="R27" s="124" t="s">
        <v>191</v>
      </c>
    </row>
    <row r="28" spans="1:18" x14ac:dyDescent="0.25">
      <c r="G28" s="117" t="s">
        <v>236</v>
      </c>
      <c r="H28" s="124" t="s">
        <v>203</v>
      </c>
      <c r="I28" s="124" t="s">
        <v>203</v>
      </c>
      <c r="J28" s="124" t="s">
        <v>201</v>
      </c>
      <c r="K28" s="124" t="s">
        <v>207</v>
      </c>
      <c r="L28" s="124" t="s">
        <v>207</v>
      </c>
      <c r="M28" s="124" t="s">
        <v>207</v>
      </c>
      <c r="N28" s="124" t="s">
        <v>227</v>
      </c>
      <c r="O28" s="124" t="s">
        <v>227</v>
      </c>
      <c r="P28" s="124" t="s">
        <v>227</v>
      </c>
      <c r="Q28" s="124" t="s">
        <v>211</v>
      </c>
      <c r="R28" s="124" t="s">
        <v>191</v>
      </c>
    </row>
    <row r="29" spans="1:18" x14ac:dyDescent="0.25">
      <c r="G29" s="117" t="s">
        <v>237</v>
      </c>
      <c r="H29" s="124" t="s">
        <v>203</v>
      </c>
      <c r="I29" s="124" t="s">
        <v>203</v>
      </c>
      <c r="J29" s="124" t="s">
        <v>201</v>
      </c>
      <c r="K29" s="124" t="s">
        <v>207</v>
      </c>
      <c r="L29" s="124" t="s">
        <v>207</v>
      </c>
      <c r="M29" s="124" t="s">
        <v>207</v>
      </c>
      <c r="N29" s="124" t="s">
        <v>227</v>
      </c>
      <c r="O29" s="124" t="s">
        <v>227</v>
      </c>
      <c r="P29" s="124" t="s">
        <v>227</v>
      </c>
      <c r="Q29" s="124" t="s">
        <v>211</v>
      </c>
      <c r="R29" s="124" t="s">
        <v>191</v>
      </c>
    </row>
    <row r="30" spans="1:18" x14ac:dyDescent="0.25">
      <c r="G30" s="117" t="s">
        <v>233</v>
      </c>
      <c r="H30" s="124" t="s">
        <v>203</v>
      </c>
      <c r="I30" s="124" t="s">
        <v>203</v>
      </c>
      <c r="J30" s="124" t="s">
        <v>201</v>
      </c>
      <c r="K30" s="124" t="s">
        <v>201</v>
      </c>
      <c r="L30" s="124" t="s">
        <v>207</v>
      </c>
      <c r="M30" s="124" t="s">
        <v>207</v>
      </c>
      <c r="N30" s="124" t="s">
        <v>207</v>
      </c>
      <c r="O30" s="124" t="s">
        <v>227</v>
      </c>
      <c r="P30" s="124" t="s">
        <v>227</v>
      </c>
      <c r="Q30" s="124" t="s">
        <v>211</v>
      </c>
      <c r="R30" s="124" t="s">
        <v>191</v>
      </c>
    </row>
    <row r="31" spans="1:18" x14ac:dyDescent="0.25">
      <c r="G31" s="117" t="s">
        <v>238</v>
      </c>
      <c r="H31" s="124" t="s">
        <v>203</v>
      </c>
      <c r="I31" s="124" t="s">
        <v>203</v>
      </c>
      <c r="J31" s="124" t="s">
        <v>201</v>
      </c>
      <c r="K31" s="124" t="s">
        <v>201</v>
      </c>
      <c r="L31" s="124" t="s">
        <v>207</v>
      </c>
      <c r="M31" s="124" t="s">
        <v>207</v>
      </c>
      <c r="N31" s="124" t="s">
        <v>207</v>
      </c>
      <c r="O31" s="124" t="s">
        <v>227</v>
      </c>
      <c r="P31" s="124" t="s">
        <v>227</v>
      </c>
      <c r="Q31" s="124" t="s">
        <v>211</v>
      </c>
      <c r="R31" s="124" t="s">
        <v>191</v>
      </c>
    </row>
    <row r="32" spans="1:18" ht="3.9" customHeight="1" x14ac:dyDescent="0.25"/>
    <row r="33" spans="7:18" x14ac:dyDescent="0.25">
      <c r="G33" s="116" t="s">
        <v>247</v>
      </c>
      <c r="H33" s="116" t="s">
        <v>70</v>
      </c>
      <c r="I33" s="116"/>
      <c r="J33" s="116" t="s">
        <v>248</v>
      </c>
      <c r="K33" s="116"/>
    </row>
    <row r="34" spans="7:18" x14ac:dyDescent="0.25">
      <c r="G34" s="117" t="s">
        <v>241</v>
      </c>
      <c r="H34" s="125" t="s">
        <v>249</v>
      </c>
      <c r="I34" s="126"/>
      <c r="J34" s="125" t="s">
        <v>249</v>
      </c>
      <c r="K34" s="126"/>
    </row>
    <row r="35" spans="7:18" x14ac:dyDescent="0.25">
      <c r="G35" s="117" t="s">
        <v>242</v>
      </c>
      <c r="H35" s="126">
        <v>0</v>
      </c>
      <c r="I35" s="126"/>
      <c r="J35" s="125" t="s">
        <v>250</v>
      </c>
      <c r="K35" s="126"/>
    </row>
    <row r="36" spans="7:18" x14ac:dyDescent="0.25">
      <c r="G36" s="117" t="s">
        <v>243</v>
      </c>
      <c r="H36" s="126">
        <v>0.01</v>
      </c>
      <c r="I36" s="126"/>
      <c r="J36" s="125" t="s">
        <v>251</v>
      </c>
      <c r="K36" s="126"/>
    </row>
    <row r="37" spans="7:18" x14ac:dyDescent="0.25">
      <c r="G37" s="117" t="s">
        <v>244</v>
      </c>
      <c r="H37" s="126">
        <v>0.02</v>
      </c>
      <c r="I37" s="126"/>
      <c r="J37" s="125" t="s">
        <v>252</v>
      </c>
      <c r="K37" s="126"/>
    </row>
    <row r="38" spans="7:18" x14ac:dyDescent="0.25">
      <c r="G38" s="117" t="s">
        <v>245</v>
      </c>
      <c r="H38" s="126">
        <v>0.2</v>
      </c>
      <c r="I38" s="126"/>
      <c r="J38" s="125" t="s">
        <v>253</v>
      </c>
      <c r="K38" s="126"/>
    </row>
    <row r="39" spans="7:18" x14ac:dyDescent="0.25">
      <c r="G39" s="117" t="s">
        <v>246</v>
      </c>
      <c r="H39" s="126">
        <v>0.3</v>
      </c>
      <c r="I39" s="126"/>
      <c r="J39" s="125" t="s">
        <v>254</v>
      </c>
      <c r="K39" s="126"/>
    </row>
    <row r="41" spans="7:18" x14ac:dyDescent="0.25">
      <c r="G41" s="68" t="s">
        <v>231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7:18" x14ac:dyDescent="0.25">
      <c r="G42" s="116"/>
      <c r="H42" s="116" t="s">
        <v>230</v>
      </c>
      <c r="I42" s="116"/>
      <c r="J42" s="116"/>
      <c r="K42" s="116"/>
      <c r="L42" s="116"/>
      <c r="M42" s="116"/>
      <c r="N42" s="116"/>
      <c r="O42" s="116"/>
      <c r="P42" s="116"/>
      <c r="Q42" s="116"/>
      <c r="R42" s="116"/>
    </row>
    <row r="43" spans="7:18" x14ac:dyDescent="0.25">
      <c r="G43" s="116" t="s">
        <v>228</v>
      </c>
      <c r="H43" s="123">
        <v>0</v>
      </c>
      <c r="I43" s="123">
        <v>1</v>
      </c>
      <c r="J43" s="123">
        <v>2</v>
      </c>
      <c r="K43" s="123">
        <v>3</v>
      </c>
      <c r="L43" s="123">
        <v>4</v>
      </c>
      <c r="M43" s="123">
        <v>5</v>
      </c>
      <c r="N43" s="123">
        <v>6</v>
      </c>
      <c r="O43" s="123">
        <v>7</v>
      </c>
      <c r="P43" s="123">
        <v>8</v>
      </c>
      <c r="Q43" s="123">
        <v>9</v>
      </c>
      <c r="R43" s="123" t="s">
        <v>191</v>
      </c>
    </row>
    <row r="44" spans="7:18" x14ac:dyDescent="0.25">
      <c r="G44" s="117" t="s">
        <v>255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</row>
    <row r="45" spans="7:18" x14ac:dyDescent="0.25">
      <c r="G45" s="117" t="s">
        <v>256</v>
      </c>
      <c r="H45" s="124">
        <v>0</v>
      </c>
      <c r="I45" s="124">
        <v>1</v>
      </c>
      <c r="J45" s="124">
        <v>1</v>
      </c>
      <c r="K45" s="124">
        <v>1</v>
      </c>
      <c r="L45" s="124">
        <v>1</v>
      </c>
      <c r="M45" s="124">
        <v>1</v>
      </c>
      <c r="N45" s="124">
        <v>1</v>
      </c>
      <c r="O45" s="124">
        <v>1</v>
      </c>
      <c r="P45" s="124">
        <v>1</v>
      </c>
      <c r="Q45" s="124">
        <v>1</v>
      </c>
      <c r="R45" s="124" t="s">
        <v>191</v>
      </c>
    </row>
    <row r="46" spans="7:18" x14ac:dyDescent="0.25">
      <c r="G46" s="117" t="s">
        <v>257</v>
      </c>
      <c r="H46" s="124">
        <v>0</v>
      </c>
      <c r="I46" s="124">
        <v>1</v>
      </c>
      <c r="J46" s="124">
        <v>2</v>
      </c>
      <c r="K46" s="124">
        <v>2</v>
      </c>
      <c r="L46" s="124">
        <v>2</v>
      </c>
      <c r="M46" s="124">
        <v>2</v>
      </c>
      <c r="N46" s="124">
        <v>2</v>
      </c>
      <c r="O46" s="124">
        <v>2</v>
      </c>
      <c r="P46" s="124">
        <v>2</v>
      </c>
      <c r="Q46" s="124">
        <v>2</v>
      </c>
      <c r="R46" s="124" t="s">
        <v>191</v>
      </c>
    </row>
    <row r="47" spans="7:18" x14ac:dyDescent="0.25">
      <c r="G47" s="117" t="s">
        <v>258</v>
      </c>
      <c r="H47" s="124">
        <v>0</v>
      </c>
      <c r="I47" s="124">
        <v>1</v>
      </c>
      <c r="J47" s="124">
        <v>2</v>
      </c>
      <c r="K47" s="124">
        <v>2</v>
      </c>
      <c r="L47" s="124">
        <v>3</v>
      </c>
      <c r="M47" s="124">
        <v>4</v>
      </c>
      <c r="N47" s="124">
        <v>4</v>
      </c>
      <c r="O47" s="124">
        <v>4</v>
      </c>
      <c r="P47" s="124">
        <v>4</v>
      </c>
      <c r="Q47" s="124">
        <v>4</v>
      </c>
      <c r="R47" s="124" t="s">
        <v>191</v>
      </c>
    </row>
    <row r="48" spans="7:18" x14ac:dyDescent="0.25">
      <c r="G48" s="117" t="s">
        <v>259</v>
      </c>
      <c r="H48" s="124">
        <v>0</v>
      </c>
      <c r="I48" s="124">
        <v>1</v>
      </c>
      <c r="J48" s="124">
        <v>2</v>
      </c>
      <c r="K48" s="124">
        <v>3</v>
      </c>
      <c r="L48" s="124">
        <v>4</v>
      </c>
      <c r="M48" s="124">
        <v>4</v>
      </c>
      <c r="N48" s="124">
        <v>5</v>
      </c>
      <c r="O48" s="124">
        <v>5</v>
      </c>
      <c r="P48" s="124">
        <v>6</v>
      </c>
      <c r="Q48" s="124">
        <v>6</v>
      </c>
      <c r="R48" s="124" t="s">
        <v>191</v>
      </c>
    </row>
    <row r="49" spans="7:25" x14ac:dyDescent="0.25">
      <c r="G49" s="117" t="s">
        <v>260</v>
      </c>
      <c r="H49" s="124">
        <v>0</v>
      </c>
      <c r="I49" s="124">
        <v>1</v>
      </c>
      <c r="J49" s="124">
        <v>2</v>
      </c>
      <c r="K49" s="124">
        <v>3</v>
      </c>
      <c r="L49" s="124">
        <v>4</v>
      </c>
      <c r="M49" s="124">
        <v>5</v>
      </c>
      <c r="N49" s="124">
        <v>5</v>
      </c>
      <c r="O49" s="124">
        <v>6</v>
      </c>
      <c r="P49" s="124">
        <v>7</v>
      </c>
      <c r="Q49" s="124">
        <v>7</v>
      </c>
      <c r="R49" s="124" t="s">
        <v>191</v>
      </c>
    </row>
    <row r="50" spans="7:25" x14ac:dyDescent="0.25">
      <c r="G50" s="117" t="s">
        <v>261</v>
      </c>
      <c r="H50" s="124">
        <v>0</v>
      </c>
      <c r="I50" s="124">
        <v>1</v>
      </c>
      <c r="J50" s="124">
        <v>2</v>
      </c>
      <c r="K50" s="124">
        <v>3</v>
      </c>
      <c r="L50" s="124">
        <v>4</v>
      </c>
      <c r="M50" s="124">
        <v>5</v>
      </c>
      <c r="N50" s="124">
        <v>6</v>
      </c>
      <c r="O50" s="124">
        <v>6</v>
      </c>
      <c r="P50" s="124">
        <v>7</v>
      </c>
      <c r="Q50" s="124">
        <v>7</v>
      </c>
      <c r="R50" s="124" t="s">
        <v>191</v>
      </c>
    </row>
    <row r="51" spans="7:25" x14ac:dyDescent="0.25">
      <c r="G51" s="117" t="s">
        <v>262</v>
      </c>
      <c r="H51" s="124">
        <v>0</v>
      </c>
      <c r="I51" s="124">
        <v>1</v>
      </c>
      <c r="J51" s="124">
        <v>2</v>
      </c>
      <c r="K51" s="124">
        <v>3</v>
      </c>
      <c r="L51" s="124">
        <v>4</v>
      </c>
      <c r="M51" s="124">
        <v>6</v>
      </c>
      <c r="N51" s="124">
        <v>6</v>
      </c>
      <c r="O51" s="124">
        <v>7</v>
      </c>
      <c r="P51" s="124">
        <v>7</v>
      </c>
      <c r="Q51" s="124">
        <v>8</v>
      </c>
      <c r="R51" s="124" t="s">
        <v>191</v>
      </c>
    </row>
    <row r="52" spans="7:25" x14ac:dyDescent="0.25">
      <c r="G52" s="117" t="s">
        <v>263</v>
      </c>
      <c r="H52" s="124">
        <v>0</v>
      </c>
      <c r="I52" s="124">
        <v>1</v>
      </c>
      <c r="J52" s="124">
        <v>2</v>
      </c>
      <c r="K52" s="124">
        <v>3</v>
      </c>
      <c r="L52" s="124">
        <v>4</v>
      </c>
      <c r="M52" s="124">
        <v>6</v>
      </c>
      <c r="N52" s="124">
        <v>7</v>
      </c>
      <c r="O52" s="124">
        <v>7</v>
      </c>
      <c r="P52" s="124">
        <v>8</v>
      </c>
      <c r="Q52" s="124">
        <v>8</v>
      </c>
      <c r="R52" s="124" t="s">
        <v>191</v>
      </c>
    </row>
    <row r="53" spans="7:25" x14ac:dyDescent="0.25">
      <c r="G53" s="117" t="s">
        <v>264</v>
      </c>
      <c r="H53" s="124">
        <v>0</v>
      </c>
      <c r="I53" s="124">
        <v>1</v>
      </c>
      <c r="J53" s="124">
        <v>2</v>
      </c>
      <c r="K53" s="124">
        <v>3</v>
      </c>
      <c r="L53" s="124">
        <v>4</v>
      </c>
      <c r="M53" s="124">
        <v>7</v>
      </c>
      <c r="N53" s="124">
        <v>7</v>
      </c>
      <c r="O53" s="124">
        <v>8</v>
      </c>
      <c r="P53" s="124">
        <v>8</v>
      </c>
      <c r="Q53" s="124">
        <v>9</v>
      </c>
      <c r="R53" s="124" t="s">
        <v>191</v>
      </c>
    </row>
    <row r="54" spans="7:25" x14ac:dyDescent="0.25">
      <c r="G54" s="117" t="s">
        <v>265</v>
      </c>
      <c r="H54" s="124">
        <v>0</v>
      </c>
      <c r="I54" s="124">
        <v>1</v>
      </c>
      <c r="J54" s="124" t="s">
        <v>191</v>
      </c>
      <c r="K54" s="124" t="s">
        <v>191</v>
      </c>
      <c r="L54" s="124" t="s">
        <v>191</v>
      </c>
      <c r="M54" s="124" t="s">
        <v>191</v>
      </c>
      <c r="N54" s="124" t="s">
        <v>191</v>
      </c>
      <c r="O54" s="124" t="s">
        <v>191</v>
      </c>
      <c r="P54" s="124" t="s">
        <v>191</v>
      </c>
      <c r="Q54" s="124" t="s">
        <v>191</v>
      </c>
      <c r="R54" s="124" t="s">
        <v>191</v>
      </c>
    </row>
    <row r="56" spans="7:25" x14ac:dyDescent="0.25">
      <c r="U56" s="68" t="s">
        <v>67</v>
      </c>
      <c r="V56" s="68"/>
      <c r="W56" s="68"/>
      <c r="X56" s="68"/>
      <c r="Y56" s="68"/>
    </row>
    <row r="57" spans="7:25" x14ac:dyDescent="0.25">
      <c r="U57" s="116"/>
      <c r="V57" s="116" t="s">
        <v>281</v>
      </c>
      <c r="W57" s="116"/>
      <c r="X57" s="116"/>
      <c r="Y57" s="116"/>
    </row>
    <row r="58" spans="7:25" ht="25.2" x14ac:dyDescent="0.25">
      <c r="U58" s="127" t="s">
        <v>276</v>
      </c>
      <c r="V58" s="128" t="s">
        <v>277</v>
      </c>
      <c r="W58" s="128" t="s">
        <v>278</v>
      </c>
      <c r="X58" s="128" t="s">
        <v>279</v>
      </c>
      <c r="Y58" s="128" t="s">
        <v>280</v>
      </c>
    </row>
    <row r="59" spans="7:25" x14ac:dyDescent="0.25">
      <c r="U59" s="117" t="s">
        <v>266</v>
      </c>
      <c r="V59" s="129">
        <v>1</v>
      </c>
      <c r="W59" s="129">
        <v>1</v>
      </c>
      <c r="X59" s="129">
        <v>1</v>
      </c>
      <c r="Y59" s="129">
        <v>1</v>
      </c>
    </row>
    <row r="60" spans="7:25" x14ac:dyDescent="0.25">
      <c r="U60" s="117" t="s">
        <v>267</v>
      </c>
      <c r="V60" s="129">
        <v>0.01</v>
      </c>
      <c r="W60" s="129">
        <v>0.01</v>
      </c>
      <c r="X60" s="129">
        <v>0.01</v>
      </c>
      <c r="Y60" s="129">
        <v>0.01</v>
      </c>
    </row>
    <row r="61" spans="7:25" x14ac:dyDescent="0.25">
      <c r="U61" s="117" t="s">
        <v>268</v>
      </c>
      <c r="V61" s="129">
        <v>5.0000000000000001E-3</v>
      </c>
      <c r="W61" s="129">
        <v>6.0000000000000001E-3</v>
      </c>
      <c r="X61" s="129">
        <v>8.0000000000000002E-3</v>
      </c>
      <c r="Y61" s="129">
        <v>8.9999999999999993E-3</v>
      </c>
    </row>
    <row r="62" spans="7:25" x14ac:dyDescent="0.25">
      <c r="U62" s="117" t="s">
        <v>269</v>
      </c>
      <c r="V62" s="129">
        <v>1.1000000000000001E-3</v>
      </c>
      <c r="W62" s="129">
        <v>1.2999999999999999E-3</v>
      </c>
      <c r="X62" s="129">
        <v>1.6000000000000001E-3</v>
      </c>
      <c r="Y62" s="129">
        <v>2E-3</v>
      </c>
    </row>
    <row r="63" spans="7:25" x14ac:dyDescent="0.25">
      <c r="U63" s="117" t="s">
        <v>270</v>
      </c>
      <c r="V63" s="129">
        <v>4.0000000000000002E-4</v>
      </c>
      <c r="W63" s="129">
        <v>5.0000000000000001E-4</v>
      </c>
      <c r="X63" s="129">
        <v>5.9999999999999995E-4</v>
      </c>
      <c r="Y63" s="129">
        <v>6.9999999999999999E-4</v>
      </c>
    </row>
    <row r="64" spans="7:25" x14ac:dyDescent="0.25">
      <c r="U64" s="117" t="s">
        <v>271</v>
      </c>
      <c r="V64" s="129">
        <v>2.9999999999999997E-4</v>
      </c>
      <c r="W64" s="129">
        <v>4.0000000000000002E-4</v>
      </c>
      <c r="X64" s="129">
        <v>5.0000000000000001E-4</v>
      </c>
      <c r="Y64" s="129">
        <v>6.9999999999999999E-4</v>
      </c>
    </row>
    <row r="65" spans="21:25" x14ac:dyDescent="0.25">
      <c r="U65" s="117" t="s">
        <v>272</v>
      </c>
      <c r="V65" s="129">
        <v>1.8000000000000001E-4</v>
      </c>
      <c r="W65" s="129">
        <v>2.5000000000000001E-4</v>
      </c>
      <c r="X65" s="129">
        <v>4.0000000000000002E-4</v>
      </c>
      <c r="Y65" s="129">
        <v>5.0000000000000001E-4</v>
      </c>
    </row>
    <row r="66" spans="21:25" x14ac:dyDescent="0.25">
      <c r="U66" s="117" t="s">
        <v>273</v>
      </c>
      <c r="V66" s="129">
        <v>1.8000000000000001E-4</v>
      </c>
      <c r="W66" s="129">
        <v>2.5000000000000001E-4</v>
      </c>
      <c r="X66" s="129">
        <v>4.0000000000000002E-4</v>
      </c>
      <c r="Y66" s="129">
        <v>5.0000000000000001E-4</v>
      </c>
    </row>
    <row r="67" spans="21:25" x14ac:dyDescent="0.25">
      <c r="U67" s="117" t="s">
        <v>274</v>
      </c>
      <c r="V67" s="129">
        <v>3.9999999999999998E-6</v>
      </c>
      <c r="W67" s="129">
        <v>5.0000000000000004E-6</v>
      </c>
      <c r="X67" s="129">
        <v>2.0000000000000002E-5</v>
      </c>
      <c r="Y67" s="129">
        <v>4.0000000000000003E-5</v>
      </c>
    </row>
    <row r="68" spans="21:25" x14ac:dyDescent="0.25">
      <c r="U68" s="117" t="s">
        <v>275</v>
      </c>
      <c r="V68" s="129">
        <v>2.5000000000000002E-6</v>
      </c>
      <c r="W68" s="129">
        <v>3.0000000000000001E-6</v>
      </c>
      <c r="X68" s="129">
        <v>3.9999999999999998E-6</v>
      </c>
      <c r="Y68" s="129">
        <v>6.9999999999999999E-6</v>
      </c>
    </row>
  </sheetData>
  <mergeCells count="3">
    <mergeCell ref="C5:E5"/>
    <mergeCell ref="C7:E7"/>
    <mergeCell ref="C11:E1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4:E43"/>
  <sheetViews>
    <sheetView showGridLines="0" topLeftCell="A26" workbookViewId="0">
      <selection activeCell="B43" sqref="B4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9" width="9.28515625" style="3"/>
    <col min="10" max="10" width="12.28515625" style="3" customWidth="1"/>
    <col min="11" max="11" width="8.85546875" style="3" customWidth="1"/>
    <col min="12" max="12" width="10.85546875" style="3" customWidth="1"/>
    <col min="13" max="13" width="8.85546875" style="3" customWidth="1"/>
    <col min="14" max="14" width="10.85546875" style="3" customWidth="1"/>
    <col min="15" max="15" width="8.85546875" style="3" customWidth="1"/>
    <col min="16" max="16" width="10.85546875" style="3" customWidth="1"/>
    <col min="17" max="20" width="12.85546875" style="3" customWidth="1"/>
    <col min="21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84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117</v>
      </c>
      <c r="C7" s="221" t="s">
        <v>118</v>
      </c>
      <c r="D7" s="222"/>
      <c r="E7" s="223"/>
    </row>
    <row r="8" spans="1:5" ht="8.1" customHeight="1" x14ac:dyDescent="0.25"/>
    <row r="9" spans="1:5" x14ac:dyDescent="0.25">
      <c r="A9" s="68" t="s">
        <v>108</v>
      </c>
      <c r="B9" s="68"/>
      <c r="C9" s="68"/>
      <c r="D9" s="68"/>
      <c r="E9" s="68"/>
    </row>
    <row r="10" spans="1:5" s="48" customFormat="1" ht="30" customHeight="1" x14ac:dyDescent="0.2">
      <c r="A10" s="95">
        <v>1</v>
      </c>
      <c r="B10" s="230" t="s">
        <v>153</v>
      </c>
      <c r="C10" s="230"/>
      <c r="D10" s="236"/>
      <c r="E10" s="81">
        <v>20</v>
      </c>
    </row>
    <row r="11" spans="1:5" s="48" customFormat="1" ht="30" customHeight="1" x14ac:dyDescent="0.2">
      <c r="A11" s="95">
        <v>2</v>
      </c>
      <c r="B11" s="230" t="s">
        <v>115</v>
      </c>
      <c r="C11" s="230"/>
      <c r="D11" s="236"/>
      <c r="E11" s="81">
        <v>500</v>
      </c>
    </row>
    <row r="12" spans="1:5" s="48" customFormat="1" ht="30" customHeight="1" x14ac:dyDescent="0.2">
      <c r="A12" s="95">
        <v>3</v>
      </c>
      <c r="B12" s="230" t="s">
        <v>119</v>
      </c>
      <c r="C12" s="230"/>
      <c r="D12" s="236"/>
      <c r="E12" s="81">
        <v>15.3</v>
      </c>
    </row>
    <row r="13" spans="1:5" ht="8.1" customHeight="1" x14ac:dyDescent="0.25"/>
    <row r="14" spans="1:5" x14ac:dyDescent="0.25">
      <c r="A14" s="68" t="s">
        <v>89</v>
      </c>
      <c r="B14" s="68"/>
      <c r="C14" s="68"/>
      <c r="D14" s="68"/>
      <c r="E14" s="68"/>
    </row>
    <row r="15" spans="1:5" x14ac:dyDescent="0.25">
      <c r="A15" s="68"/>
      <c r="D15" s="5" t="s">
        <v>109</v>
      </c>
      <c r="E15" s="5" t="s">
        <v>110</v>
      </c>
    </row>
    <row r="16" spans="1:5" x14ac:dyDescent="0.25">
      <c r="A16" s="68">
        <v>4</v>
      </c>
      <c r="B16" s="3" t="s">
        <v>120</v>
      </c>
      <c r="D16" s="99">
        <v>5744</v>
      </c>
      <c r="E16" s="99">
        <v>10092</v>
      </c>
    </row>
    <row r="17" spans="1:5" x14ac:dyDescent="0.25">
      <c r="A17" s="68">
        <v>5</v>
      </c>
      <c r="B17" s="3" t="s">
        <v>111</v>
      </c>
      <c r="D17" s="100">
        <v>10500</v>
      </c>
      <c r="E17" s="100">
        <v>12000</v>
      </c>
    </row>
    <row r="18" spans="1:5" x14ac:dyDescent="0.25">
      <c r="A18" s="68">
        <v>6</v>
      </c>
      <c r="B18" s="3" t="s">
        <v>114</v>
      </c>
      <c r="D18" s="100">
        <v>10540</v>
      </c>
      <c r="E18" s="100">
        <v>11965</v>
      </c>
    </row>
    <row r="19" spans="1:5" ht="3.9" customHeight="1" x14ac:dyDescent="0.25">
      <c r="A19" s="68"/>
      <c r="D19" s="96"/>
      <c r="E19" s="96"/>
    </row>
    <row r="20" spans="1:5" x14ac:dyDescent="0.25">
      <c r="A20" s="68"/>
      <c r="D20" s="98" t="s">
        <v>121</v>
      </c>
      <c r="E20" s="98" t="s">
        <v>122</v>
      </c>
    </row>
    <row r="21" spans="1:5" x14ac:dyDescent="0.25">
      <c r="A21" s="68">
        <v>7</v>
      </c>
      <c r="B21" s="3" t="s">
        <v>123</v>
      </c>
      <c r="D21" s="33">
        <f>(($E$17)/($D$17))^(1/$E$10)-1</f>
        <v>6.6989076082608623E-3</v>
      </c>
      <c r="E21" s="58">
        <f>(1-(1+D21)^(-$E$10))/D21</f>
        <v>18.659758771095401</v>
      </c>
    </row>
    <row r="22" spans="1:5" x14ac:dyDescent="0.25">
      <c r="A22" s="68">
        <v>8</v>
      </c>
      <c r="B22" s="3" t="s">
        <v>124</v>
      </c>
      <c r="D22" s="33">
        <f>(($E$16*$E$17*$E$18)/($D$16*$D$17*$D$18))^(1/$E$10)-1</f>
        <v>4.2056681302522048E-2</v>
      </c>
      <c r="E22" s="58">
        <f>(1-(1+D22)^(-$E$10))/D22</f>
        <v>13.346141699576801</v>
      </c>
    </row>
    <row r="23" spans="1:5" ht="3.9" customHeight="1" x14ac:dyDescent="0.25">
      <c r="A23" s="68"/>
      <c r="D23" s="33"/>
      <c r="E23" s="58"/>
    </row>
    <row r="24" spans="1:5" ht="30" customHeight="1" x14ac:dyDescent="0.25">
      <c r="A24" s="95">
        <v>9</v>
      </c>
      <c r="B24" s="230" t="s">
        <v>450</v>
      </c>
      <c r="C24" s="230"/>
      <c r="D24" s="230"/>
      <c r="E24" s="108">
        <f>E11/E21</f>
        <v>26.795630433042735</v>
      </c>
    </row>
    <row r="25" spans="1:5" ht="30" customHeight="1" x14ac:dyDescent="0.25">
      <c r="A25" s="95">
        <v>10</v>
      </c>
      <c r="B25" s="230" t="s">
        <v>452</v>
      </c>
      <c r="C25" s="230"/>
      <c r="D25" s="230"/>
      <c r="E25" s="109">
        <f>E12*1000000/E22/E24/E18</f>
        <v>3.5756830596542382</v>
      </c>
    </row>
    <row r="26" spans="1:5" ht="8.1" customHeight="1" x14ac:dyDescent="0.25"/>
    <row r="27" spans="1:5" x14ac:dyDescent="0.25">
      <c r="A27" s="68" t="s">
        <v>112</v>
      </c>
      <c r="B27" s="68"/>
      <c r="C27" s="68"/>
      <c r="D27" s="68"/>
      <c r="E27" s="68"/>
    </row>
    <row r="28" spans="1:5" x14ac:dyDescent="0.25">
      <c r="A28" s="68"/>
      <c r="B28" s="66" t="s">
        <v>131</v>
      </c>
      <c r="C28" s="66"/>
      <c r="D28" s="66"/>
      <c r="E28" s="66"/>
    </row>
    <row r="29" spans="1:5" x14ac:dyDescent="0.25">
      <c r="A29" s="68"/>
      <c r="B29" s="3" t="s">
        <v>129</v>
      </c>
      <c r="D29" s="99">
        <v>0.2</v>
      </c>
    </row>
    <row r="30" spans="1:5" x14ac:dyDescent="0.25">
      <c r="A30" s="68"/>
      <c r="B30" s="3" t="s">
        <v>128</v>
      </c>
      <c r="D30" s="99">
        <v>1</v>
      </c>
    </row>
    <row r="31" spans="1:5" x14ac:dyDescent="0.25">
      <c r="A31" s="68"/>
      <c r="B31" s="3" t="s">
        <v>127</v>
      </c>
      <c r="D31" s="99">
        <v>2</v>
      </c>
    </row>
    <row r="32" spans="1:5" ht="3.9" customHeight="1" x14ac:dyDescent="0.25">
      <c r="A32" s="68"/>
      <c r="D32" s="101"/>
    </row>
    <row r="33" spans="1:5" x14ac:dyDescent="0.25">
      <c r="A33" s="68"/>
      <c r="B33" s="66" t="s">
        <v>132</v>
      </c>
      <c r="C33" s="66"/>
      <c r="D33" s="66"/>
      <c r="E33" s="66"/>
    </row>
    <row r="34" spans="1:5" x14ac:dyDescent="0.25">
      <c r="A34" s="68"/>
      <c r="B34" s="3" t="s">
        <v>71</v>
      </c>
      <c r="D34" s="99">
        <v>0.2</v>
      </c>
    </row>
    <row r="35" spans="1:5" x14ac:dyDescent="0.25">
      <c r="A35" s="68"/>
      <c r="B35" s="3" t="s">
        <v>130</v>
      </c>
      <c r="D35" s="99">
        <v>1</v>
      </c>
    </row>
    <row r="36" spans="1:5" x14ac:dyDescent="0.25">
      <c r="A36" s="68"/>
      <c r="B36" s="3" t="s">
        <v>73</v>
      </c>
      <c r="D36" s="99">
        <v>2</v>
      </c>
    </row>
    <row r="37" spans="1:5" ht="3.9" customHeight="1" x14ac:dyDescent="0.25">
      <c r="A37" s="68"/>
      <c r="D37" s="101"/>
    </row>
    <row r="38" spans="1:5" x14ac:dyDescent="0.25">
      <c r="A38" s="68"/>
      <c r="B38" s="66" t="s">
        <v>133</v>
      </c>
      <c r="C38" s="66"/>
      <c r="D38" s="66"/>
      <c r="E38" s="66"/>
    </row>
    <row r="39" spans="1:5" x14ac:dyDescent="0.25">
      <c r="A39" s="68"/>
      <c r="B39" s="3" t="s">
        <v>73</v>
      </c>
      <c r="D39" s="99">
        <v>0.5</v>
      </c>
    </row>
    <row r="40" spans="1:5" x14ac:dyDescent="0.25">
      <c r="A40" s="68"/>
      <c r="B40" s="3" t="s">
        <v>130</v>
      </c>
      <c r="D40" s="99">
        <v>1</v>
      </c>
    </row>
    <row r="41" spans="1:5" x14ac:dyDescent="0.25">
      <c r="A41" s="68"/>
      <c r="B41" s="3" t="s">
        <v>71</v>
      </c>
      <c r="D41" s="99">
        <v>1.5</v>
      </c>
    </row>
    <row r="43" spans="1:5" x14ac:dyDescent="0.25">
      <c r="B43" s="3" t="s">
        <v>511</v>
      </c>
    </row>
  </sheetData>
  <mergeCells count="7">
    <mergeCell ref="B25:D25"/>
    <mergeCell ref="C5:E5"/>
    <mergeCell ref="C7:E7"/>
    <mergeCell ref="B10:D10"/>
    <mergeCell ref="B11:D11"/>
    <mergeCell ref="B12:D12"/>
    <mergeCell ref="B24:D2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4:E45"/>
  <sheetViews>
    <sheetView showGridLines="0" topLeftCell="A32" zoomScale="85" zoomScaleNormal="85" workbookViewId="0">
      <selection activeCell="C54" sqref="C54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9" width="9.28515625" style="3"/>
    <col min="10" max="10" width="12.28515625" style="3" customWidth="1"/>
    <col min="11" max="11" width="8.85546875" style="3" customWidth="1"/>
    <col min="12" max="12" width="10.85546875" style="3" customWidth="1"/>
    <col min="13" max="13" width="8.85546875" style="3" customWidth="1"/>
    <col min="14" max="14" width="10.85546875" style="3" customWidth="1"/>
    <col min="15" max="15" width="8.85546875" style="3" customWidth="1"/>
    <col min="16" max="16" width="10.85546875" style="3" customWidth="1"/>
    <col min="17" max="20" width="12.85546875" style="3" customWidth="1"/>
    <col min="21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285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117</v>
      </c>
      <c r="C7" s="221" t="s">
        <v>118</v>
      </c>
      <c r="D7" s="222"/>
      <c r="E7" s="223"/>
    </row>
    <row r="8" spans="1:5" ht="8.1" customHeight="1" x14ac:dyDescent="0.25"/>
    <row r="9" spans="1:5" x14ac:dyDescent="0.25">
      <c r="A9" s="68" t="s">
        <v>108</v>
      </c>
      <c r="B9" s="68"/>
      <c r="C9" s="68"/>
      <c r="D9" s="68"/>
      <c r="E9" s="68"/>
    </row>
    <row r="10" spans="1:5" s="48" customFormat="1" ht="30" customHeight="1" x14ac:dyDescent="0.2">
      <c r="A10" s="95">
        <v>1</v>
      </c>
      <c r="B10" s="230" t="s">
        <v>153</v>
      </c>
      <c r="C10" s="230"/>
      <c r="D10" s="236"/>
      <c r="E10" s="81">
        <v>20</v>
      </c>
    </row>
    <row r="11" spans="1:5" s="48" customFormat="1" ht="30" customHeight="1" x14ac:dyDescent="0.2">
      <c r="A11" s="95">
        <v>2</v>
      </c>
      <c r="B11" s="230" t="s">
        <v>115</v>
      </c>
      <c r="C11" s="230"/>
      <c r="D11" s="236"/>
      <c r="E11" s="81">
        <v>500</v>
      </c>
    </row>
    <row r="12" spans="1:5" s="48" customFormat="1" ht="30" customHeight="1" x14ac:dyDescent="0.2">
      <c r="A12" s="95">
        <v>3</v>
      </c>
      <c r="B12" s="230" t="s">
        <v>119</v>
      </c>
      <c r="C12" s="230"/>
      <c r="D12" s="236"/>
      <c r="E12" s="81">
        <v>15.3</v>
      </c>
    </row>
    <row r="13" spans="1:5" ht="8.1" customHeight="1" x14ac:dyDescent="0.25"/>
    <row r="14" spans="1:5" x14ac:dyDescent="0.25">
      <c r="A14" s="68" t="s">
        <v>89</v>
      </c>
      <c r="B14" s="68"/>
      <c r="C14" s="68"/>
      <c r="D14" s="68"/>
      <c r="E14" s="68"/>
    </row>
    <row r="15" spans="1:5" x14ac:dyDescent="0.25">
      <c r="A15" s="68"/>
      <c r="D15" s="5" t="s">
        <v>109</v>
      </c>
      <c r="E15" s="5" t="s">
        <v>110</v>
      </c>
    </row>
    <row r="16" spans="1:5" x14ac:dyDescent="0.25">
      <c r="A16" s="68">
        <v>4</v>
      </c>
      <c r="B16" s="3" t="s">
        <v>120</v>
      </c>
      <c r="D16" s="99">
        <v>5744</v>
      </c>
      <c r="E16" s="99">
        <v>10092</v>
      </c>
    </row>
    <row r="17" spans="1:5" x14ac:dyDescent="0.25">
      <c r="A17" s="68">
        <v>5</v>
      </c>
      <c r="B17" s="3" t="s">
        <v>111</v>
      </c>
      <c r="D17" s="100">
        <v>10500</v>
      </c>
      <c r="E17" s="100">
        <v>12000</v>
      </c>
    </row>
    <row r="18" spans="1:5" x14ac:dyDescent="0.25">
      <c r="A18" s="68">
        <v>6</v>
      </c>
      <c r="B18" s="3" t="s">
        <v>114</v>
      </c>
      <c r="D18" s="100">
        <v>10540</v>
      </c>
      <c r="E18" s="100">
        <v>11965</v>
      </c>
    </row>
    <row r="19" spans="1:5" ht="3.9" customHeight="1" x14ac:dyDescent="0.25">
      <c r="A19" s="68"/>
      <c r="D19" s="96"/>
      <c r="E19" s="96"/>
    </row>
    <row r="20" spans="1:5" x14ac:dyDescent="0.25">
      <c r="A20" s="68"/>
      <c r="D20" s="98" t="s">
        <v>121</v>
      </c>
      <c r="E20" s="98" t="s">
        <v>122</v>
      </c>
    </row>
    <row r="21" spans="1:5" x14ac:dyDescent="0.25">
      <c r="A21" s="68">
        <v>7</v>
      </c>
      <c r="B21" s="3" t="s">
        <v>123</v>
      </c>
      <c r="D21" s="33">
        <f>(($E$17)/($D$17))^(1/$E$10)-1</f>
        <v>6.6989076082608623E-3</v>
      </c>
      <c r="E21" s="58">
        <f>(1-(1+D21)^(-$E$10))/D21</f>
        <v>18.659758771095401</v>
      </c>
    </row>
    <row r="22" spans="1:5" x14ac:dyDescent="0.25">
      <c r="A22" s="68">
        <v>8</v>
      </c>
      <c r="B22" s="3" t="s">
        <v>124</v>
      </c>
      <c r="D22" s="33">
        <f>(($E$16*$E$17*$E$18)/($D$16*$D$17*$D$18))^(1/$E$10)-1</f>
        <v>4.2056681302522048E-2</v>
      </c>
      <c r="E22" s="58">
        <f>(1-(1+D22)^(-$E$10))/D22</f>
        <v>13.346141699576801</v>
      </c>
    </row>
    <row r="23" spans="1:5" ht="3.9" customHeight="1" x14ac:dyDescent="0.25">
      <c r="A23" s="68"/>
      <c r="D23" s="33"/>
      <c r="E23" s="58"/>
    </row>
    <row r="24" spans="1:5" ht="30" customHeight="1" x14ac:dyDescent="0.25">
      <c r="A24" s="95">
        <v>9</v>
      </c>
      <c r="B24" s="230" t="s">
        <v>450</v>
      </c>
      <c r="C24" s="230"/>
      <c r="D24" s="230"/>
      <c r="E24" s="108">
        <f>E11/E21</f>
        <v>26.795630433042735</v>
      </c>
    </row>
    <row r="25" spans="1:5" ht="30" customHeight="1" x14ac:dyDescent="0.25">
      <c r="A25" s="95">
        <v>10</v>
      </c>
      <c r="B25" s="230" t="s">
        <v>452</v>
      </c>
      <c r="C25" s="230"/>
      <c r="D25" s="230"/>
      <c r="E25" s="109">
        <f>E12*1000000/E22/E24/E18</f>
        <v>3.5756830596542382</v>
      </c>
    </row>
    <row r="30" spans="1:5" x14ac:dyDescent="0.25">
      <c r="A30" s="67"/>
    </row>
    <row r="31" spans="1:5" x14ac:dyDescent="0.25">
      <c r="A31" s="67"/>
      <c r="B31" s="4" t="s">
        <v>1</v>
      </c>
      <c r="C31" s="215" t="s">
        <v>0</v>
      </c>
      <c r="D31" s="216"/>
      <c r="E31" s="217"/>
    </row>
    <row r="32" spans="1:5" ht="3.9" customHeight="1" x14ac:dyDescent="0.25">
      <c r="A32" s="67"/>
      <c r="B32" s="6"/>
      <c r="C32" s="7"/>
    </row>
    <row r="33" spans="1:5" x14ac:dyDescent="0.25">
      <c r="A33" s="67"/>
      <c r="B33" s="6" t="s">
        <v>66</v>
      </c>
      <c r="C33" s="221" t="s">
        <v>285</v>
      </c>
      <c r="D33" s="222"/>
      <c r="E33" s="223"/>
    </row>
    <row r="34" spans="1:5" ht="8.1" customHeight="1" x14ac:dyDescent="0.25"/>
    <row r="35" spans="1:5" x14ac:dyDescent="0.25">
      <c r="A35" s="68" t="s">
        <v>67</v>
      </c>
      <c r="B35" s="68"/>
      <c r="C35" s="68"/>
      <c r="D35" s="68"/>
      <c r="E35" s="68"/>
    </row>
    <row r="36" spans="1:5" x14ac:dyDescent="0.25">
      <c r="A36" s="67"/>
      <c r="B36" s="66" t="s">
        <v>69</v>
      </c>
      <c r="C36" s="70" t="s">
        <v>70</v>
      </c>
      <c r="D36" s="73" t="s">
        <v>83</v>
      </c>
      <c r="E36" s="70" t="s">
        <v>80</v>
      </c>
    </row>
    <row r="37" spans="1:5" x14ac:dyDescent="0.25">
      <c r="A37" s="67"/>
      <c r="B37" s="9" t="s">
        <v>68</v>
      </c>
      <c r="C37" s="71" t="s">
        <v>75</v>
      </c>
      <c r="D37" s="74">
        <v>0</v>
      </c>
      <c r="E37" s="75" t="s">
        <v>81</v>
      </c>
    </row>
    <row r="38" spans="1:5" x14ac:dyDescent="0.25">
      <c r="A38" s="69"/>
      <c r="B38" s="9" t="s">
        <v>71</v>
      </c>
      <c r="C38" s="72" t="s">
        <v>76</v>
      </c>
      <c r="D38" s="74">
        <v>25</v>
      </c>
      <c r="E38" s="76" t="s">
        <v>81</v>
      </c>
    </row>
    <row r="39" spans="1:5" x14ac:dyDescent="0.25">
      <c r="A39" s="69"/>
      <c r="B39" s="9" t="s">
        <v>72</v>
      </c>
      <c r="C39" s="71" t="s">
        <v>77</v>
      </c>
      <c r="D39" s="74">
        <v>50</v>
      </c>
      <c r="E39" s="77" t="s">
        <v>81</v>
      </c>
    </row>
    <row r="40" spans="1:5" x14ac:dyDescent="0.25">
      <c r="A40" s="67"/>
      <c r="B40" s="9" t="s">
        <v>73</v>
      </c>
      <c r="C40" s="71" t="s">
        <v>78</v>
      </c>
      <c r="D40" s="74">
        <v>75</v>
      </c>
      <c r="E40" s="78" t="s">
        <v>81</v>
      </c>
    </row>
    <row r="41" spans="1:5" x14ac:dyDescent="0.25">
      <c r="A41" s="67"/>
      <c r="B41" s="9" t="s">
        <v>74</v>
      </c>
      <c r="C41" s="71" t="s">
        <v>79</v>
      </c>
      <c r="D41" s="74">
        <v>100</v>
      </c>
      <c r="E41" s="79" t="s">
        <v>81</v>
      </c>
    </row>
    <row r="42" spans="1:5" x14ac:dyDescent="0.25">
      <c r="A42" s="67"/>
    </row>
    <row r="43" spans="1:5" x14ac:dyDescent="0.25">
      <c r="A43" s="67"/>
      <c r="D43" s="5" t="s">
        <v>82</v>
      </c>
      <c r="E43" s="80"/>
    </row>
    <row r="45" spans="1:5" x14ac:dyDescent="0.25">
      <c r="B45" s="3" t="s">
        <v>511</v>
      </c>
    </row>
  </sheetData>
  <mergeCells count="9">
    <mergeCell ref="C33:E33"/>
    <mergeCell ref="B25:D25"/>
    <mergeCell ref="C31:E31"/>
    <mergeCell ref="C5:E5"/>
    <mergeCell ref="C7:E7"/>
    <mergeCell ref="B10:D10"/>
    <mergeCell ref="B11:D11"/>
    <mergeCell ref="B12:D12"/>
    <mergeCell ref="B24:D2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4:E33"/>
  <sheetViews>
    <sheetView showGridLines="0" topLeftCell="A19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286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287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s="48" customFormat="1" ht="30" customHeight="1" x14ac:dyDescent="0.2">
      <c r="A26" s="186">
        <v>11</v>
      </c>
      <c r="B26" s="228" t="s">
        <v>91</v>
      </c>
      <c r="C26" s="228"/>
      <c r="D26" s="229"/>
      <c r="E26" s="81">
        <v>10</v>
      </c>
    </row>
    <row r="27" spans="1:5" ht="30" customHeight="1" x14ac:dyDescent="0.25">
      <c r="A27" s="186">
        <v>12</v>
      </c>
      <c r="B27" s="230" t="s">
        <v>101</v>
      </c>
      <c r="C27" s="230"/>
      <c r="D27" s="230"/>
      <c r="E27" s="81">
        <v>5</v>
      </c>
    </row>
    <row r="28" spans="1:5" s="48" customFormat="1" ht="30" customHeight="1" x14ac:dyDescent="0.2">
      <c r="A28" s="186">
        <v>13</v>
      </c>
      <c r="B28" s="231" t="s">
        <v>102</v>
      </c>
      <c r="C28" s="231"/>
      <c r="D28" s="232"/>
      <c r="E28" s="85">
        <v>10</v>
      </c>
    </row>
    <row r="29" spans="1:5" ht="30" customHeight="1" x14ac:dyDescent="0.25">
      <c r="A29" s="186">
        <v>14</v>
      </c>
      <c r="B29" s="230" t="s">
        <v>288</v>
      </c>
      <c r="C29" s="230"/>
      <c r="D29" s="233"/>
      <c r="E29" s="88">
        <v>1120</v>
      </c>
    </row>
    <row r="30" spans="1:5" ht="30" customHeight="1" x14ac:dyDescent="0.25">
      <c r="A30" s="186">
        <v>15</v>
      </c>
      <c r="B30" s="234" t="s">
        <v>289</v>
      </c>
      <c r="C30" s="234"/>
      <c r="D30" s="234"/>
      <c r="E30" s="87">
        <v>5.4000000000000003E-3</v>
      </c>
    </row>
    <row r="31" spans="1:5" ht="30" customHeight="1" x14ac:dyDescent="0.25">
      <c r="A31" s="186">
        <v>16</v>
      </c>
      <c r="B31" s="230" t="s">
        <v>107</v>
      </c>
      <c r="C31" s="230"/>
      <c r="D31" s="230"/>
      <c r="E31" s="86">
        <f>E28/E29/E26/E30</f>
        <v>0.16534391534391532</v>
      </c>
    </row>
    <row r="33" spans="2:2" x14ac:dyDescent="0.25">
      <c r="B33" s="3" t="s">
        <v>511</v>
      </c>
    </row>
  </sheetData>
  <mergeCells count="10">
    <mergeCell ref="B28:D28"/>
    <mergeCell ref="B29:D29"/>
    <mergeCell ref="B30:D30"/>
    <mergeCell ref="B31:D31"/>
    <mergeCell ref="C5:E5"/>
    <mergeCell ref="C7:E7"/>
    <mergeCell ref="C9:E9"/>
    <mergeCell ref="B12:E12"/>
    <mergeCell ref="B26:D26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4:E28"/>
  <sheetViews>
    <sheetView showGridLines="0" topLeftCell="A11" workbookViewId="0">
      <selection activeCell="F28" sqref="F28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2.85546875" style="3" customWidth="1"/>
    <col min="4" max="4" width="16.85546875" style="3" customWidth="1"/>
    <col min="5" max="5" width="8.85546875" style="3" customWidth="1"/>
    <col min="6" max="6" width="9.28515625" style="3"/>
    <col min="7" max="7" width="36" style="3" bestFit="1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68"/>
    </row>
    <row r="5" spans="1:5" x14ac:dyDescent="0.25">
      <c r="A5" s="68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68"/>
      <c r="B6" s="6"/>
      <c r="C6" s="7"/>
    </row>
    <row r="7" spans="1:5" x14ac:dyDescent="0.25">
      <c r="A7" s="68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68"/>
      <c r="B8" s="6"/>
      <c r="C8" s="7"/>
    </row>
    <row r="9" spans="1:5" x14ac:dyDescent="0.25">
      <c r="A9" s="68">
        <v>3</v>
      </c>
      <c r="B9" s="6" t="s">
        <v>66</v>
      </c>
      <c r="C9" s="221" t="s">
        <v>290</v>
      </c>
      <c r="D9" s="222"/>
      <c r="E9" s="223"/>
    </row>
    <row r="10" spans="1:5" ht="8.1" customHeight="1" x14ac:dyDescent="0.25"/>
    <row r="11" spans="1:5" x14ac:dyDescent="0.25">
      <c r="A11" s="68" t="s">
        <v>453</v>
      </c>
      <c r="B11" s="68"/>
      <c r="C11" s="68"/>
      <c r="D11" s="68"/>
      <c r="E11" s="68"/>
    </row>
    <row r="12" spans="1:5" ht="3.9" customHeight="1" x14ac:dyDescent="0.25">
      <c r="A12" s="67"/>
    </row>
    <row r="13" spans="1:5" x14ac:dyDescent="0.25">
      <c r="A13" s="68">
        <v>4</v>
      </c>
      <c r="B13" s="4" t="s">
        <v>225</v>
      </c>
      <c r="C13" s="238" t="s">
        <v>49</v>
      </c>
      <c r="D13" s="239"/>
      <c r="E13" s="240"/>
    </row>
    <row r="14" spans="1:5" x14ac:dyDescent="0.25">
      <c r="A14" s="68">
        <v>5</v>
      </c>
      <c r="B14" s="3" t="s">
        <v>292</v>
      </c>
      <c r="E14" s="131">
        <v>23000</v>
      </c>
    </row>
    <row r="15" spans="1:5" x14ac:dyDescent="0.25">
      <c r="A15" s="68">
        <v>6</v>
      </c>
      <c r="B15" s="3" t="s">
        <v>293</v>
      </c>
      <c r="E15" s="132">
        <v>2010</v>
      </c>
    </row>
    <row r="16" spans="1:5" x14ac:dyDescent="0.25">
      <c r="A16" s="68">
        <v>7</v>
      </c>
      <c r="B16" s="3" t="s">
        <v>294</v>
      </c>
      <c r="E16" s="131">
        <v>29000</v>
      </c>
    </row>
    <row r="17" spans="1:5" x14ac:dyDescent="0.25">
      <c r="A17" s="68">
        <v>8</v>
      </c>
      <c r="B17" s="3" t="s">
        <v>295</v>
      </c>
      <c r="E17" s="132">
        <v>2030</v>
      </c>
    </row>
    <row r="18" spans="1:5" s="48" customFormat="1" ht="30" customHeight="1" x14ac:dyDescent="0.2">
      <c r="A18" s="95">
        <v>9</v>
      </c>
      <c r="B18" s="230" t="s">
        <v>460</v>
      </c>
      <c r="C18" s="230"/>
      <c r="D18" s="230"/>
      <c r="E18" s="134">
        <f>(E16/E14)^(1/(E17-E15))-1</f>
        <v>1.165750592435133E-2</v>
      </c>
    </row>
    <row r="19" spans="1:5" x14ac:dyDescent="0.25">
      <c r="A19" s="68">
        <v>10</v>
      </c>
      <c r="B19" s="3" t="s">
        <v>296</v>
      </c>
      <c r="E19" s="133">
        <v>5.5E-2</v>
      </c>
    </row>
    <row r="20" spans="1:5" s="48" customFormat="1" ht="30" customHeight="1" x14ac:dyDescent="0.2">
      <c r="A20" s="95">
        <v>11</v>
      </c>
      <c r="B20" s="230" t="s">
        <v>454</v>
      </c>
      <c r="C20" s="230"/>
      <c r="D20" s="230"/>
      <c r="E20" s="135">
        <f>E14*(1+E18)^(C7-E15)*E19</f>
        <v>1387.9013246439763</v>
      </c>
    </row>
    <row r="21" spans="1:5" ht="8.1" customHeight="1" x14ac:dyDescent="0.25"/>
    <row r="22" spans="1:5" x14ac:dyDescent="0.25">
      <c r="A22" s="68" t="s">
        <v>455</v>
      </c>
      <c r="B22" s="68"/>
      <c r="C22" s="68"/>
      <c r="D22" s="68"/>
      <c r="E22" s="68"/>
    </row>
    <row r="23" spans="1:5" ht="3.9" customHeight="1" x14ac:dyDescent="0.25">
      <c r="A23" s="67"/>
    </row>
    <row r="24" spans="1:5" x14ac:dyDescent="0.25">
      <c r="A24" s="68">
        <v>12</v>
      </c>
      <c r="B24" s="3" t="s">
        <v>297</v>
      </c>
      <c r="E24" s="131">
        <v>64000</v>
      </c>
    </row>
    <row r="25" spans="1:5" s="48" customFormat="1" ht="30" customHeight="1" x14ac:dyDescent="0.2">
      <c r="A25" s="95">
        <v>13</v>
      </c>
      <c r="B25" s="230" t="s">
        <v>298</v>
      </c>
      <c r="C25" s="241"/>
      <c r="D25" s="241"/>
      <c r="E25" s="134">
        <f>IF(OR(--LEFT(C13,2)=1,--LEFT(C13,2)=11),
IF(E24&lt;10000,100,IF(E24&lt;80000,102.24 - (0.00008982)*E24 - (0.000000014336)*E24^2,IF(E24&lt;91000,18.976 - (0.0002083)*E24,0))),
IF(E24&lt;3725,100,IF(E24&lt;85000,107.26 - (0.0019743)*E24 + (0.0000000065265)*E24^2 + (0.000000000000022256)*E24^3,0)))/100</f>
        <v>0.13471620864000006</v>
      </c>
    </row>
    <row r="26" spans="1:5" s="48" customFormat="1" ht="30" customHeight="1" x14ac:dyDescent="0.2">
      <c r="A26" s="95">
        <v>14</v>
      </c>
      <c r="B26" s="230" t="s">
        <v>456</v>
      </c>
      <c r="C26" s="241"/>
      <c r="D26" s="241"/>
      <c r="E26" s="137">
        <f>365*E20*E25</f>
        <v>68245.073614201683</v>
      </c>
    </row>
    <row r="28" spans="1:5" x14ac:dyDescent="0.25">
      <c r="B28" s="3" t="s">
        <v>511</v>
      </c>
    </row>
  </sheetData>
  <mergeCells count="8">
    <mergeCell ref="B18:D18"/>
    <mergeCell ref="B20:D20"/>
    <mergeCell ref="B25:D25"/>
    <mergeCell ref="B26:D26"/>
    <mergeCell ref="C5:E5"/>
    <mergeCell ref="C9:E9"/>
    <mergeCell ref="C7:E7"/>
    <mergeCell ref="C13:E1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4:E28"/>
  <sheetViews>
    <sheetView showGridLines="0" topLeftCell="A11" workbookViewId="0">
      <selection activeCell="B28" sqref="B28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2.85546875" style="3" customWidth="1"/>
    <col min="4" max="4" width="16.85546875" style="3" customWidth="1"/>
    <col min="5" max="5" width="8.85546875" style="3" customWidth="1"/>
    <col min="6" max="6" width="9.28515625" style="3"/>
    <col min="7" max="7" width="36" style="3" bestFit="1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68"/>
    </row>
    <row r="5" spans="1:5" x14ac:dyDescent="0.25">
      <c r="A5" s="68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68"/>
      <c r="B6" s="6"/>
      <c r="C6" s="7"/>
    </row>
    <row r="7" spans="1:5" x14ac:dyDescent="0.25">
      <c r="A7" s="68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68"/>
      <c r="B8" s="6"/>
      <c r="C8" s="7"/>
    </row>
    <row r="9" spans="1:5" x14ac:dyDescent="0.25">
      <c r="A9" s="68">
        <v>3</v>
      </c>
      <c r="B9" s="6" t="s">
        <v>66</v>
      </c>
      <c r="C9" s="221" t="s">
        <v>300</v>
      </c>
      <c r="D9" s="222"/>
      <c r="E9" s="223"/>
    </row>
    <row r="10" spans="1:5" ht="8.1" customHeight="1" x14ac:dyDescent="0.25"/>
    <row r="11" spans="1:5" x14ac:dyDescent="0.25">
      <c r="A11" s="68" t="s">
        <v>453</v>
      </c>
      <c r="B11" s="68"/>
      <c r="C11" s="68"/>
      <c r="D11" s="68"/>
      <c r="E11" s="68"/>
    </row>
    <row r="12" spans="1:5" ht="3.9" customHeight="1" x14ac:dyDescent="0.25">
      <c r="A12" s="67"/>
    </row>
    <row r="13" spans="1:5" x14ac:dyDescent="0.25">
      <c r="A13" s="68">
        <v>4</v>
      </c>
      <c r="B13" s="4" t="s">
        <v>225</v>
      </c>
      <c r="C13" s="238" t="s">
        <v>49</v>
      </c>
      <c r="D13" s="239"/>
      <c r="E13" s="240"/>
    </row>
    <row r="14" spans="1:5" x14ac:dyDescent="0.25">
      <c r="A14" s="68">
        <v>5</v>
      </c>
      <c r="B14" s="3" t="s">
        <v>292</v>
      </c>
      <c r="E14" s="131">
        <v>23000</v>
      </c>
    </row>
    <row r="15" spans="1:5" x14ac:dyDescent="0.25">
      <c r="A15" s="68">
        <v>6</v>
      </c>
      <c r="B15" s="3" t="s">
        <v>293</v>
      </c>
      <c r="E15" s="132">
        <v>2010</v>
      </c>
    </row>
    <row r="16" spans="1:5" x14ac:dyDescent="0.25">
      <c r="A16" s="68">
        <v>7</v>
      </c>
      <c r="B16" s="3" t="s">
        <v>294</v>
      </c>
      <c r="E16" s="131">
        <v>29000</v>
      </c>
    </row>
    <row r="17" spans="1:5" x14ac:dyDescent="0.25">
      <c r="A17" s="68">
        <v>8</v>
      </c>
      <c r="B17" s="3" t="s">
        <v>295</v>
      </c>
      <c r="E17" s="132">
        <v>2030</v>
      </c>
    </row>
    <row r="18" spans="1:5" s="48" customFormat="1" ht="30" customHeight="1" x14ac:dyDescent="0.2">
      <c r="A18" s="95">
        <v>9</v>
      </c>
      <c r="B18" s="230" t="s">
        <v>459</v>
      </c>
      <c r="C18" s="230"/>
      <c r="D18" s="230"/>
      <c r="E18" s="134">
        <f>(E16/E14)^(1/(E17-E15))-1</f>
        <v>1.165750592435133E-2</v>
      </c>
    </row>
    <row r="19" spans="1:5" x14ac:dyDescent="0.25">
      <c r="A19" s="68">
        <v>10</v>
      </c>
      <c r="B19" s="3" t="s">
        <v>296</v>
      </c>
      <c r="E19" s="133">
        <v>5.5E-2</v>
      </c>
    </row>
    <row r="20" spans="1:5" s="48" customFormat="1" ht="30" customHeight="1" x14ac:dyDescent="0.2">
      <c r="A20" s="95">
        <v>11</v>
      </c>
      <c r="B20" s="230" t="s">
        <v>454</v>
      </c>
      <c r="C20" s="230"/>
      <c r="D20" s="230"/>
      <c r="E20" s="135">
        <f>E14*(1+E18)^(C7-E15)*E19</f>
        <v>1387.9013246439763</v>
      </c>
    </row>
    <row r="21" spans="1:5" ht="8.1" customHeight="1" x14ac:dyDescent="0.25"/>
    <row r="22" spans="1:5" x14ac:dyDescent="0.25">
      <c r="A22" s="68" t="s">
        <v>448</v>
      </c>
      <c r="B22" s="68"/>
      <c r="C22" s="68"/>
      <c r="D22" s="68"/>
      <c r="E22" s="68"/>
    </row>
    <row r="23" spans="1:5" ht="3.9" customHeight="1" x14ac:dyDescent="0.25">
      <c r="A23" s="67"/>
    </row>
    <row r="24" spans="1:5" x14ac:dyDescent="0.25">
      <c r="A24" s="68">
        <v>12</v>
      </c>
      <c r="B24" s="3" t="s">
        <v>301</v>
      </c>
      <c r="E24" s="138">
        <v>13.5</v>
      </c>
    </row>
    <row r="25" spans="1:5" s="48" customFormat="1" ht="30" customHeight="1" x14ac:dyDescent="0.2">
      <c r="A25" s="95">
        <v>13</v>
      </c>
      <c r="B25" s="230" t="s">
        <v>302</v>
      </c>
      <c r="C25" s="241"/>
      <c r="D25" s="241"/>
      <c r="E25" s="134">
        <f>IF(OR(--LEFT(C13,2)=1,--LEFT(C13,2)=11),
IF(E24&lt;9.65,100,IF(E24&lt;13,855.91 - 223.43*E24 + 22.199*E24^2 - 0.74236*E24^3,IF(E24&lt;14,(1.0956E+56)*E24^(-48.683),IF(E24&lt;16.1,14.567 - 0.9046*E24,0)))),
IF(E24&lt;7.3,100,IF(E24&lt;13.5,-26.275 + 34.692*E24 - 2.3894*E24^2,IF(E24&lt;14,138.86 - 9.886*E24,0))))/100</f>
        <v>5.3990000000000295E-2</v>
      </c>
    </row>
    <row r="26" spans="1:5" s="48" customFormat="1" ht="30" customHeight="1" x14ac:dyDescent="0.2">
      <c r="A26" s="95">
        <v>14</v>
      </c>
      <c r="B26" s="230" t="s">
        <v>456</v>
      </c>
      <c r="C26" s="241"/>
      <c r="D26" s="241"/>
      <c r="E26" s="137">
        <f>365*E20*E25</f>
        <v>27350.46926889797</v>
      </c>
    </row>
    <row r="28" spans="1:5" x14ac:dyDescent="0.25">
      <c r="B28" s="3" t="s">
        <v>511</v>
      </c>
    </row>
  </sheetData>
  <mergeCells count="8">
    <mergeCell ref="B25:D25"/>
    <mergeCell ref="B26:D26"/>
    <mergeCell ref="C5:E5"/>
    <mergeCell ref="C7:E7"/>
    <mergeCell ref="C9:E9"/>
    <mergeCell ref="C13:E13"/>
    <mergeCell ref="B18:D18"/>
    <mergeCell ref="B20:D20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4:G42"/>
  <sheetViews>
    <sheetView showGridLines="0" topLeftCell="A28" workbookViewId="0">
      <selection activeCell="B42" sqref="B42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20.85546875" style="3" customWidth="1"/>
    <col min="4" max="5" width="8.85546875" style="3" customWidth="1"/>
    <col min="6" max="7" width="12.85546875" style="3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68"/>
    </row>
    <row r="5" spans="1:5" x14ac:dyDescent="0.25">
      <c r="A5" s="68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68"/>
      <c r="B6" s="6"/>
      <c r="C6" s="7"/>
    </row>
    <row r="7" spans="1:5" x14ac:dyDescent="0.25">
      <c r="A7" s="68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68"/>
      <c r="B8" s="6"/>
      <c r="C8" s="7"/>
    </row>
    <row r="9" spans="1:5" x14ac:dyDescent="0.25">
      <c r="A9" s="68">
        <v>3</v>
      </c>
      <c r="B9" s="6" t="s">
        <v>66</v>
      </c>
      <c r="C9" s="221" t="s">
        <v>303</v>
      </c>
      <c r="D9" s="222"/>
      <c r="E9" s="223"/>
    </row>
    <row r="10" spans="1:5" ht="8.1" customHeight="1" x14ac:dyDescent="0.25"/>
    <row r="11" spans="1:5" x14ac:dyDescent="0.25">
      <c r="A11" s="68" t="s">
        <v>457</v>
      </c>
      <c r="B11" s="68"/>
      <c r="C11" s="68"/>
      <c r="D11" s="68"/>
      <c r="E11" s="68"/>
    </row>
    <row r="12" spans="1:5" ht="3.9" customHeight="1" x14ac:dyDescent="0.25">
      <c r="A12" s="67"/>
    </row>
    <row r="13" spans="1:5" x14ac:dyDescent="0.25">
      <c r="A13" s="68">
        <v>4</v>
      </c>
      <c r="B13" s="4" t="s">
        <v>225</v>
      </c>
      <c r="C13" s="238" t="s">
        <v>49</v>
      </c>
      <c r="D13" s="239"/>
      <c r="E13" s="240"/>
    </row>
    <row r="14" spans="1:5" x14ac:dyDescent="0.25">
      <c r="A14" s="68">
        <v>5</v>
      </c>
      <c r="B14" s="3" t="s">
        <v>292</v>
      </c>
      <c r="E14" s="131">
        <v>23000</v>
      </c>
    </row>
    <row r="15" spans="1:5" x14ac:dyDescent="0.25">
      <c r="A15" s="68">
        <v>6</v>
      </c>
      <c r="B15" s="3" t="s">
        <v>293</v>
      </c>
      <c r="E15" s="132">
        <v>2010</v>
      </c>
    </row>
    <row r="16" spans="1:5" x14ac:dyDescent="0.25">
      <c r="A16" s="68">
        <v>7</v>
      </c>
      <c r="B16" s="3" t="s">
        <v>294</v>
      </c>
      <c r="E16" s="131">
        <v>29000</v>
      </c>
    </row>
    <row r="17" spans="1:7" x14ac:dyDescent="0.25">
      <c r="A17" s="68">
        <v>8</v>
      </c>
      <c r="B17" s="3" t="s">
        <v>295</v>
      </c>
      <c r="E17" s="132">
        <v>2030</v>
      </c>
    </row>
    <row r="18" spans="1:7" s="48" customFormat="1" ht="30" customHeight="1" x14ac:dyDescent="0.2">
      <c r="A18" s="95">
        <v>9</v>
      </c>
      <c r="B18" s="230" t="s">
        <v>459</v>
      </c>
      <c r="C18" s="230"/>
      <c r="D18" s="230"/>
      <c r="E18" s="134">
        <f>(E16/E14)^(1/(E17-E15))-1</f>
        <v>1.165750592435133E-2</v>
      </c>
    </row>
    <row r="19" spans="1:7" x14ac:dyDescent="0.25">
      <c r="A19" s="68">
        <v>10</v>
      </c>
      <c r="B19" s="3" t="s">
        <v>296</v>
      </c>
      <c r="E19" s="133">
        <v>5.5E-2</v>
      </c>
    </row>
    <row r="20" spans="1:7" s="48" customFormat="1" ht="30" customHeight="1" x14ac:dyDescent="0.2">
      <c r="A20" s="95">
        <v>11</v>
      </c>
      <c r="B20" s="230" t="s">
        <v>461</v>
      </c>
      <c r="C20" s="230"/>
      <c r="D20" s="230"/>
      <c r="E20" s="135">
        <f>E14*(1+E18)^(C7-E15)</f>
        <v>25234.569538981388</v>
      </c>
    </row>
    <row r="21" spans="1:7" ht="8.1" customHeight="1" x14ac:dyDescent="0.25"/>
    <row r="22" spans="1:7" x14ac:dyDescent="0.25">
      <c r="A22" s="68" t="s">
        <v>447</v>
      </c>
      <c r="B22" s="68"/>
      <c r="C22" s="68"/>
      <c r="D22" s="68"/>
      <c r="E22" s="68"/>
    </row>
    <row r="23" spans="1:7" ht="3.9" customHeight="1" x14ac:dyDescent="0.25">
      <c r="A23" s="68"/>
    </row>
    <row r="24" spans="1:7" s="48" customFormat="1" ht="30" customHeight="1" x14ac:dyDescent="0.2">
      <c r="A24" s="95">
        <v>12</v>
      </c>
      <c r="B24" s="230" t="s">
        <v>310</v>
      </c>
      <c r="C24" s="230"/>
      <c r="D24" s="230"/>
      <c r="E24" s="140">
        <f>IF(OR(--LEFT(C13,2)=14,--LEFT(C13,2)=16),F24,G24)</f>
        <v>886.00980000000004</v>
      </c>
      <c r="F24" s="140">
        <v>886.00980000000004</v>
      </c>
      <c r="G24" s="140">
        <v>-377.37009999999998</v>
      </c>
    </row>
    <row r="25" spans="1:7" ht="3.9" customHeight="1" x14ac:dyDescent="0.25">
      <c r="A25" s="95"/>
    </row>
    <row r="26" spans="1:7" s="48" customFormat="1" ht="30" customHeight="1" x14ac:dyDescent="0.2">
      <c r="A26" s="95">
        <v>13</v>
      </c>
      <c r="B26" s="48" t="s">
        <v>304</v>
      </c>
      <c r="E26" s="143">
        <v>4</v>
      </c>
    </row>
    <row r="27" spans="1:7" s="48" customFormat="1" ht="30" customHeight="1" x14ac:dyDescent="0.2">
      <c r="A27" s="95">
        <v>14</v>
      </c>
      <c r="B27" s="230" t="s">
        <v>305</v>
      </c>
      <c r="C27" s="230"/>
      <c r="D27" s="230"/>
      <c r="E27" s="139">
        <v>540</v>
      </c>
    </row>
    <row r="28" spans="1:7" s="48" customFormat="1" ht="30" customHeight="1" x14ac:dyDescent="0.2">
      <c r="A28" s="95">
        <v>15</v>
      </c>
      <c r="B28" s="230" t="s">
        <v>458</v>
      </c>
      <c r="C28" s="230"/>
      <c r="D28" s="230"/>
      <c r="E28" s="140">
        <f>F28*E26*E27</f>
        <v>482.09935995123436</v>
      </c>
      <c r="F28" s="141">
        <f>0.7323/3.281</f>
        <v>0.22319414812557145</v>
      </c>
    </row>
    <row r="29" spans="1:7" ht="3.9" customHeight="1" x14ac:dyDescent="0.25">
      <c r="A29" s="95"/>
    </row>
    <row r="30" spans="1:7" s="48" customFormat="1" ht="30" customHeight="1" x14ac:dyDescent="0.2">
      <c r="A30" s="95">
        <v>16</v>
      </c>
      <c r="B30" s="48" t="s">
        <v>307</v>
      </c>
      <c r="E30" s="143">
        <v>7</v>
      </c>
      <c r="F30" s="141">
        <f>0.7899*3.281</f>
        <v>2.5916619000000001</v>
      </c>
      <c r="G30" s="141">
        <f>0.5031*3.281</f>
        <v>1.6506711000000001</v>
      </c>
    </row>
    <row r="31" spans="1:7" s="48" customFormat="1" ht="30" customHeight="1" x14ac:dyDescent="0.2">
      <c r="A31" s="95">
        <v>17</v>
      </c>
      <c r="B31" s="48" t="s">
        <v>308</v>
      </c>
      <c r="E31" s="143">
        <v>5</v>
      </c>
      <c r="F31" s="141">
        <f>0.4531*3.281</f>
        <v>1.4866211</v>
      </c>
      <c r="G31" s="141">
        <f>0.3904*3.281</f>
        <v>1.2809024000000002</v>
      </c>
    </row>
    <row r="32" spans="1:7" s="130" customFormat="1" ht="18" customHeight="1" x14ac:dyDescent="0.25">
      <c r="A32" s="142">
        <v>18</v>
      </c>
      <c r="B32" s="242" t="s">
        <v>309</v>
      </c>
      <c r="C32" s="242"/>
      <c r="D32" s="242"/>
      <c r="E32" s="144">
        <f>IF(E30&lt;=6,IF(E31&lt;=6,F30,G30),IF(E31&lt;=6,F31,G31))</f>
        <v>1.4866211</v>
      </c>
    </row>
    <row r="33" spans="1:5" s="48" customFormat="1" x14ac:dyDescent="0.2">
      <c r="A33" s="95"/>
      <c r="B33" s="145" t="s">
        <v>311</v>
      </c>
      <c r="C33" s="146"/>
      <c r="D33" s="147">
        <f>0.7899*3.281</f>
        <v>2.5916619000000001</v>
      </c>
      <c r="E33" s="141"/>
    </row>
    <row r="34" spans="1:5" s="48" customFormat="1" x14ac:dyDescent="0.2">
      <c r="A34" s="95"/>
      <c r="B34" s="145" t="s">
        <v>312</v>
      </c>
      <c r="C34" s="146"/>
      <c r="D34" s="147">
        <f>0.5031*3.281</f>
        <v>1.6506711000000001</v>
      </c>
      <c r="E34" s="141"/>
    </row>
    <row r="35" spans="1:5" s="48" customFormat="1" x14ac:dyDescent="0.2">
      <c r="A35" s="95"/>
      <c r="B35" s="145" t="s">
        <v>313</v>
      </c>
      <c r="C35" s="146"/>
      <c r="D35" s="147">
        <f>0.4531*3.281</f>
        <v>1.4866211</v>
      </c>
      <c r="E35" s="141"/>
    </row>
    <row r="36" spans="1:5" s="48" customFormat="1" x14ac:dyDescent="0.2">
      <c r="A36" s="95"/>
      <c r="B36" s="145" t="s">
        <v>314</v>
      </c>
      <c r="C36" s="146"/>
      <c r="D36" s="147">
        <f>0.3904*3.281</f>
        <v>1.2809024000000002</v>
      </c>
      <c r="E36" s="141"/>
    </row>
    <row r="37" spans="1:5" s="48" customFormat="1" ht="30" customHeight="1" x14ac:dyDescent="0.2">
      <c r="A37" s="95">
        <v>19</v>
      </c>
      <c r="B37" s="48" t="s">
        <v>306</v>
      </c>
      <c r="E37" s="143">
        <v>88</v>
      </c>
    </row>
    <row r="38" spans="1:5" s="48" customFormat="1" ht="30" customHeight="1" x14ac:dyDescent="0.2">
      <c r="A38" s="95">
        <v>20</v>
      </c>
      <c r="B38" s="230" t="s">
        <v>462</v>
      </c>
      <c r="C38" s="241"/>
      <c r="D38" s="241"/>
      <c r="E38" s="140">
        <f>E32*E26/E37*E20</f>
        <v>1705.1928875485003</v>
      </c>
    </row>
    <row r="39" spans="1:5" ht="3.9" customHeight="1" x14ac:dyDescent="0.25">
      <c r="A39" s="95"/>
    </row>
    <row r="40" spans="1:5" s="48" customFormat="1" ht="30" customHeight="1" x14ac:dyDescent="0.2">
      <c r="A40" s="95">
        <v>21</v>
      </c>
      <c r="B40" s="230" t="s">
        <v>463</v>
      </c>
      <c r="C40" s="241"/>
      <c r="D40" s="241"/>
      <c r="E40" s="148">
        <f>E19*(E24+E28+E38)/1000</f>
        <v>0.16903161261248542</v>
      </c>
    </row>
    <row r="42" spans="1:5" x14ac:dyDescent="0.25">
      <c r="B42" s="3" t="s">
        <v>511</v>
      </c>
    </row>
  </sheetData>
  <mergeCells count="12">
    <mergeCell ref="B40:D40"/>
    <mergeCell ref="B27:D27"/>
    <mergeCell ref="B28:D28"/>
    <mergeCell ref="B38:D38"/>
    <mergeCell ref="B24:D24"/>
    <mergeCell ref="B32:D32"/>
    <mergeCell ref="B20:D20"/>
    <mergeCell ref="C5:E5"/>
    <mergeCell ref="C7:E7"/>
    <mergeCell ref="C9:E9"/>
    <mergeCell ref="C13:E13"/>
    <mergeCell ref="B18:D1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4:E32"/>
  <sheetViews>
    <sheetView showGridLines="0" topLeftCell="A17" workbookViewId="0">
      <selection activeCell="B32" sqref="B32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315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316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s="48" customFormat="1" ht="30" customHeight="1" x14ac:dyDescent="0.2">
      <c r="A26" s="186">
        <v>11</v>
      </c>
      <c r="B26" s="228" t="s">
        <v>91</v>
      </c>
      <c r="C26" s="228"/>
      <c r="D26" s="229"/>
      <c r="E26" s="81">
        <v>10</v>
      </c>
    </row>
    <row r="27" spans="1:5" ht="30" customHeight="1" x14ac:dyDescent="0.25">
      <c r="A27" s="186">
        <v>12</v>
      </c>
      <c r="B27" s="230" t="s">
        <v>101</v>
      </c>
      <c r="C27" s="230"/>
      <c r="D27" s="230"/>
      <c r="E27" s="81">
        <v>5</v>
      </c>
    </row>
    <row r="28" spans="1:5" s="48" customFormat="1" ht="30" customHeight="1" x14ac:dyDescent="0.2">
      <c r="A28" s="186">
        <v>13</v>
      </c>
      <c r="B28" s="231" t="s">
        <v>102</v>
      </c>
      <c r="C28" s="231"/>
      <c r="D28" s="232"/>
      <c r="E28" s="85">
        <v>10</v>
      </c>
    </row>
    <row r="29" spans="1:5" ht="30" customHeight="1" x14ac:dyDescent="0.25">
      <c r="A29" s="186">
        <v>14</v>
      </c>
      <c r="B29" s="230" t="s">
        <v>105</v>
      </c>
      <c r="C29" s="230"/>
      <c r="D29" s="233"/>
      <c r="E29" s="88">
        <v>1120</v>
      </c>
    </row>
    <row r="30" spans="1:5" ht="30" customHeight="1" x14ac:dyDescent="0.25">
      <c r="A30" s="186">
        <v>15</v>
      </c>
      <c r="B30" s="230" t="s">
        <v>317</v>
      </c>
      <c r="C30" s="230"/>
      <c r="D30" s="230"/>
      <c r="E30" s="86">
        <f>E28/E29/E26</f>
        <v>8.9285714285714283E-4</v>
      </c>
    </row>
    <row r="32" spans="1:5" x14ac:dyDescent="0.25">
      <c r="B32" s="3" t="s">
        <v>511</v>
      </c>
    </row>
  </sheetData>
  <mergeCells count="9">
    <mergeCell ref="B28:D28"/>
    <mergeCell ref="B29:D29"/>
    <mergeCell ref="B30:D30"/>
    <mergeCell ref="C5:E5"/>
    <mergeCell ref="C7:E7"/>
    <mergeCell ref="C9:E9"/>
    <mergeCell ref="B12:E12"/>
    <mergeCell ref="B26:D26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4:AF54"/>
  <sheetViews>
    <sheetView showGridLines="0" topLeftCell="A30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2.85546875" style="3" customWidth="1"/>
    <col min="4" max="6" width="8.85546875" style="3" customWidth="1"/>
    <col min="7" max="7" width="9.28515625" style="3"/>
    <col min="8" max="8" width="36" style="3" bestFit="1" customWidth="1"/>
    <col min="9" max="13" width="12.85546875" style="3" customWidth="1"/>
    <col min="14" max="14" width="1.85546875" style="3" customWidth="1"/>
    <col min="15" max="15" width="12.85546875" style="3" customWidth="1"/>
    <col min="16" max="18" width="10.85546875" style="3" customWidth="1"/>
    <col min="19" max="19" width="11.85546875" style="3" customWidth="1"/>
    <col min="20" max="22" width="10.85546875" style="3" customWidth="1"/>
    <col min="23" max="23" width="14.85546875" style="3" customWidth="1"/>
    <col min="24" max="24" width="19.7109375" style="3" bestFit="1" customWidth="1"/>
    <col min="25" max="25" width="1.85546875" style="3" customWidth="1"/>
    <col min="26" max="28" width="6.28515625" style="3" customWidth="1"/>
    <col min="29" max="29" width="1.85546875" style="3" customWidth="1"/>
    <col min="30" max="32" width="6.28515625" style="3" customWidth="1"/>
    <col min="33" max="16384" width="9.28515625" style="3"/>
  </cols>
  <sheetData>
    <row r="4" spans="1:6" x14ac:dyDescent="0.25">
      <c r="A4" s="68"/>
    </row>
    <row r="5" spans="1:6" x14ac:dyDescent="0.25">
      <c r="A5" s="68">
        <v>1</v>
      </c>
      <c r="B5" s="4" t="s">
        <v>1</v>
      </c>
      <c r="C5" s="215" t="s">
        <v>343</v>
      </c>
      <c r="D5" s="216"/>
      <c r="E5" s="216"/>
      <c r="F5" s="217"/>
    </row>
    <row r="6" spans="1:6" ht="3.9" customHeight="1" x14ac:dyDescent="0.25">
      <c r="A6" s="68"/>
      <c r="B6" s="6"/>
      <c r="C6" s="7"/>
      <c r="D6" s="7"/>
    </row>
    <row r="7" spans="1:6" x14ac:dyDescent="0.25">
      <c r="A7" s="68">
        <v>2</v>
      </c>
      <c r="B7" s="4" t="s">
        <v>299</v>
      </c>
      <c r="C7" s="215" t="s">
        <v>291</v>
      </c>
      <c r="D7" s="216"/>
      <c r="E7" s="216"/>
      <c r="F7" s="217"/>
    </row>
    <row r="8" spans="1:6" ht="3.9" customHeight="1" x14ac:dyDescent="0.25">
      <c r="A8" s="68"/>
      <c r="B8" s="6"/>
      <c r="C8" s="7"/>
      <c r="D8" s="7"/>
    </row>
    <row r="9" spans="1:6" x14ac:dyDescent="0.25">
      <c r="A9" s="68">
        <v>3</v>
      </c>
      <c r="B9" s="6" t="s">
        <v>66</v>
      </c>
      <c r="C9" s="221" t="s">
        <v>318</v>
      </c>
      <c r="D9" s="222"/>
      <c r="E9" s="222"/>
      <c r="F9" s="223"/>
    </row>
    <row r="10" spans="1:6" ht="8.1" customHeight="1" x14ac:dyDescent="0.25"/>
    <row r="11" spans="1:6" x14ac:dyDescent="0.25">
      <c r="A11" s="68" t="s">
        <v>446</v>
      </c>
      <c r="B11" s="68"/>
      <c r="C11" s="68"/>
      <c r="D11" s="68"/>
      <c r="E11" s="68"/>
      <c r="F11" s="68"/>
    </row>
    <row r="12" spans="1:6" ht="3.9" customHeight="1" x14ac:dyDescent="0.25">
      <c r="A12" s="67"/>
    </row>
    <row r="13" spans="1:6" s="136" customFormat="1" ht="30" customHeight="1" x14ac:dyDescent="0.2">
      <c r="A13" s="95">
        <v>4</v>
      </c>
      <c r="B13" s="230" t="s">
        <v>361</v>
      </c>
      <c r="C13" s="241"/>
      <c r="D13" s="241"/>
      <c r="E13" s="244"/>
      <c r="F13" s="153">
        <f>V41</f>
        <v>19.441316636079339</v>
      </c>
    </row>
    <row r="14" spans="1:6" s="136" customFormat="1" ht="12.75" customHeight="1" x14ac:dyDescent="0.25">
      <c r="A14" s="68">
        <v>5</v>
      </c>
      <c r="B14" s="230" t="s">
        <v>342</v>
      </c>
      <c r="C14" s="230"/>
      <c r="D14" s="245" t="s">
        <v>340</v>
      </c>
      <c r="E14" s="246"/>
      <c r="F14" s="247"/>
    </row>
    <row r="15" spans="1:6" x14ac:dyDescent="0.25">
      <c r="A15" s="68">
        <v>6</v>
      </c>
      <c r="B15" s="3" t="s">
        <v>336</v>
      </c>
      <c r="F15" s="3">
        <f>D18</f>
        <v>15.461</v>
      </c>
    </row>
    <row r="16" spans="1:6" x14ac:dyDescent="0.25">
      <c r="A16" s="68">
        <v>7</v>
      </c>
      <c r="B16" s="3" t="s">
        <v>337</v>
      </c>
      <c r="D16" s="5"/>
      <c r="E16" s="5"/>
      <c r="F16" s="3">
        <f>E18</f>
        <v>3.9820000000000002</v>
      </c>
    </row>
    <row r="17" spans="1:6" x14ac:dyDescent="0.25">
      <c r="A17" s="68"/>
      <c r="D17" s="5" t="s">
        <v>338</v>
      </c>
      <c r="E17" s="5" t="s">
        <v>339</v>
      </c>
    </row>
    <row r="18" spans="1:6" x14ac:dyDescent="0.25">
      <c r="A18" s="68"/>
      <c r="B18" s="92" t="s">
        <v>340</v>
      </c>
      <c r="D18" s="3">
        <v>15.461</v>
      </c>
      <c r="E18" s="3">
        <v>3.9820000000000002</v>
      </c>
    </row>
    <row r="19" spans="1:6" s="136" customFormat="1" x14ac:dyDescent="0.25">
      <c r="A19" s="68"/>
      <c r="B19" s="92" t="s">
        <v>341</v>
      </c>
      <c r="C19" s="3"/>
      <c r="D19" s="3">
        <v>15.385</v>
      </c>
      <c r="E19" s="3">
        <v>3.9279999999999999</v>
      </c>
      <c r="F19" s="3"/>
    </row>
    <row r="20" spans="1:6" x14ac:dyDescent="0.25">
      <c r="A20" s="68"/>
      <c r="B20" s="92" t="s">
        <v>126</v>
      </c>
      <c r="D20" s="3">
        <v>15.545</v>
      </c>
      <c r="E20" s="3">
        <v>3.9980000000000002</v>
      </c>
    </row>
    <row r="21" spans="1:6" s="136" customFormat="1" x14ac:dyDescent="0.25">
      <c r="A21" s="68"/>
      <c r="B21" s="92" t="s">
        <v>127</v>
      </c>
      <c r="C21" s="3"/>
      <c r="D21" s="3">
        <v>15.077</v>
      </c>
      <c r="E21" s="3">
        <v>3.9020000000000001</v>
      </c>
      <c r="F21" s="3"/>
    </row>
    <row r="22" spans="1:6" s="136" customFormat="1" ht="30" customHeight="1" x14ac:dyDescent="0.2">
      <c r="A22" s="95">
        <v>8</v>
      </c>
      <c r="B22" s="230" t="s">
        <v>464</v>
      </c>
      <c r="C22" s="241"/>
      <c r="D22" s="241"/>
      <c r="E22" s="241"/>
      <c r="F22" s="141">
        <f>(LN(F13)-F15)/F16</f>
        <v>-3.1375187029301297</v>
      </c>
    </row>
    <row r="23" spans="1:6" s="136" customFormat="1" x14ac:dyDescent="0.2">
      <c r="A23" s="95">
        <v>9</v>
      </c>
      <c r="B23" s="241" t="s">
        <v>359</v>
      </c>
      <c r="C23" s="241"/>
      <c r="D23" s="241"/>
      <c r="E23" s="241"/>
      <c r="F23" s="155">
        <f>NORMDIST(LN(F13),F15,F16,FALSE)</f>
        <v>7.2980400624595646E-4</v>
      </c>
    </row>
    <row r="24" spans="1:6" s="136" customFormat="1" x14ac:dyDescent="0.2">
      <c r="A24" s="95">
        <v>10</v>
      </c>
      <c r="B24" s="136" t="s">
        <v>360</v>
      </c>
      <c r="F24" s="155">
        <f>NORMDIST(LN(F13),F15,F16,TRUE)</f>
        <v>8.5192201684057859E-4</v>
      </c>
    </row>
    <row r="25" spans="1:6" s="136" customFormat="1" ht="30" customHeight="1" x14ac:dyDescent="0.2">
      <c r="A25" s="95">
        <v>11</v>
      </c>
      <c r="B25" s="230" t="s">
        <v>465</v>
      </c>
      <c r="C25" s="230"/>
      <c r="D25" s="230"/>
      <c r="E25" s="230"/>
      <c r="F25" s="151">
        <f>3000*F23/(F16*F13*(1-F24))</f>
        <v>2.8305492205962179E-2</v>
      </c>
    </row>
    <row r="26" spans="1:6" x14ac:dyDescent="0.25">
      <c r="A26" s="95">
        <v>12</v>
      </c>
      <c r="B26" s="3" t="s">
        <v>362</v>
      </c>
      <c r="F26" s="3">
        <f>D27</f>
        <v>1.99E-3</v>
      </c>
    </row>
    <row r="27" spans="1:6" x14ac:dyDescent="0.25">
      <c r="A27" s="95"/>
      <c r="B27" s="92" t="s">
        <v>340</v>
      </c>
      <c r="D27" s="3">
        <v>1.99E-3</v>
      </c>
    </row>
    <row r="28" spans="1:6" s="136" customFormat="1" x14ac:dyDescent="0.25">
      <c r="A28" s="95"/>
      <c r="B28" s="92" t="s">
        <v>341</v>
      </c>
      <c r="C28" s="3"/>
      <c r="D28" s="3">
        <v>4.6999999999999999E-4</v>
      </c>
      <c r="E28" s="3"/>
      <c r="F28" s="3"/>
    </row>
    <row r="29" spans="1:6" x14ac:dyDescent="0.25">
      <c r="A29" s="95"/>
      <c r="B29" s="92" t="s">
        <v>126</v>
      </c>
      <c r="D29" s="3">
        <v>1.9599999999999999E-3</v>
      </c>
    </row>
    <row r="30" spans="1:6" s="136" customFormat="1" x14ac:dyDescent="0.25">
      <c r="A30" s="95"/>
      <c r="B30" s="92" t="s">
        <v>127</v>
      </c>
      <c r="C30" s="3"/>
      <c r="D30" s="3">
        <v>5.3899999999999998E-3</v>
      </c>
      <c r="E30" s="3"/>
      <c r="F30" s="3"/>
    </row>
    <row r="31" spans="1:6" s="136" customFormat="1" ht="30" customHeight="1" x14ac:dyDescent="0.2">
      <c r="A31" s="95">
        <v>13</v>
      </c>
      <c r="B31" s="230" t="s">
        <v>466</v>
      </c>
      <c r="C31" s="241"/>
      <c r="D31" s="241"/>
      <c r="E31" s="241"/>
      <c r="F31" s="152">
        <f>F25+F26*F13</f>
        <v>6.6993712311760073E-2</v>
      </c>
    </row>
    <row r="33" spans="2:22" x14ac:dyDescent="0.25">
      <c r="B33" s="3" t="s">
        <v>511</v>
      </c>
    </row>
    <row r="35" spans="2:22" x14ac:dyDescent="0.25">
      <c r="H35" s="68" t="s">
        <v>357</v>
      </c>
      <c r="I35" s="68"/>
      <c r="J35" s="68"/>
      <c r="L35" s="243" t="s">
        <v>356</v>
      </c>
      <c r="M35" s="243"/>
      <c r="Q35" s="243" t="s">
        <v>349</v>
      </c>
      <c r="R35" s="243"/>
      <c r="T35" s="243" t="s">
        <v>351</v>
      </c>
      <c r="U35" s="243"/>
    </row>
    <row r="36" spans="2:22" ht="27" customHeight="1" x14ac:dyDescent="0.25">
      <c r="H36" s="3" t="s">
        <v>328</v>
      </c>
      <c r="I36" s="3" t="s">
        <v>330</v>
      </c>
      <c r="J36" s="5" t="s">
        <v>329</v>
      </c>
      <c r="K36" s="102" t="s">
        <v>350</v>
      </c>
      <c r="L36" s="102" t="s">
        <v>344</v>
      </c>
      <c r="M36" s="102" t="s">
        <v>345</v>
      </c>
      <c r="O36" s="82" t="s">
        <v>330</v>
      </c>
      <c r="P36" s="102" t="s">
        <v>352</v>
      </c>
      <c r="Q36" s="102" t="s">
        <v>346</v>
      </c>
      <c r="R36" s="102" t="s">
        <v>347</v>
      </c>
      <c r="S36" s="102" t="s">
        <v>348</v>
      </c>
      <c r="T36" s="102" t="s">
        <v>353</v>
      </c>
      <c r="U36" s="102" t="s">
        <v>354</v>
      </c>
      <c r="V36" s="102" t="s">
        <v>355</v>
      </c>
    </row>
    <row r="37" spans="2:22" x14ac:dyDescent="0.25">
      <c r="H37" s="3" t="s">
        <v>325</v>
      </c>
      <c r="I37" s="3" t="s">
        <v>331</v>
      </c>
      <c r="J37" s="25">
        <v>16972</v>
      </c>
      <c r="K37" s="58">
        <v>83.85</v>
      </c>
      <c r="L37" s="33">
        <v>0.1</v>
      </c>
      <c r="M37" s="33">
        <v>0.3</v>
      </c>
      <c r="O37" s="3" t="s">
        <v>331</v>
      </c>
      <c r="P37" s="25">
        <f>SUMPRODUCT((Elements[Component]=Components[[#This Row],[Component]])*Elements[Quantity]*Elements[Replacement
unit cost])</f>
        <v>1423102.2</v>
      </c>
      <c r="Q37" s="25">
        <f>SUMPRODUCT((Elements[Component]=Components[[#This Row],[Component]])*Elements[Quantity]*Elements[Replacement
unit cost]*Elements[Percent in state 3])</f>
        <v>142310.22</v>
      </c>
      <c r="R37" s="25">
        <f>SUMPRODUCT((Elements[Component]=Components[[#This Row],[Component]])*Elements[Quantity]*Elements[Replacement
unit cost]*Elements[Percent in state 4])</f>
        <v>426930.66</v>
      </c>
      <c r="S37" s="29">
        <v>0.2</v>
      </c>
      <c r="T37" s="29">
        <v>0.5</v>
      </c>
      <c r="U37" s="29">
        <v>1</v>
      </c>
      <c r="V37" s="58">
        <f>Components[[#This Row],[Component weight]]/Components[[#This Row],[Total value (TEV)]]*(Components[[#This Row],[State 3]]*Components[[#This Row],[Weight 
state 3]]+Components[[#This Row],[State 4]]*Components[[#This Row],[Weight 
state 4]])*100</f>
        <v>7.0000000000000009</v>
      </c>
    </row>
    <row r="38" spans="2:22" x14ac:dyDescent="0.25">
      <c r="H38" s="3" t="s">
        <v>326</v>
      </c>
      <c r="I38" s="3" t="s">
        <v>332</v>
      </c>
      <c r="J38" s="25">
        <v>2913</v>
      </c>
      <c r="K38" s="58">
        <v>847.64</v>
      </c>
      <c r="L38" s="33">
        <v>0.14000000000000001</v>
      </c>
      <c r="M38" s="33">
        <v>0.22</v>
      </c>
      <c r="O38" s="3" t="s">
        <v>332</v>
      </c>
      <c r="P38" s="25">
        <f>SUMPRODUCT((Elements[Component]=Components[[#This Row],[Component]])*Elements[Quantity]*Elements[Replacement
unit cost])</f>
        <v>2469175.3199999998</v>
      </c>
      <c r="Q38" s="25">
        <f>SUMPRODUCT((Elements[Component]=Components[[#This Row],[Component]])*Elements[Quantity]*Elements[Replacement
unit cost]*Elements[Percent in state 3])</f>
        <v>345684.54480000003</v>
      </c>
      <c r="R38" s="25">
        <f>SUMPRODUCT((Elements[Component]=Components[[#This Row],[Component]])*Elements[Quantity]*Elements[Replacement
unit cost]*Elements[Percent in state 4])</f>
        <v>543218.57039999997</v>
      </c>
      <c r="S38" s="29">
        <v>0.4</v>
      </c>
      <c r="T38" s="29">
        <v>0.5</v>
      </c>
      <c r="U38" s="29">
        <v>1</v>
      </c>
      <c r="V38" s="58">
        <f>Components[[#This Row],[Component weight]]/Components[[#This Row],[Total value (TEV)]]*(Components[[#This Row],[State 3]]*Components[[#This Row],[Weight 
state 3]]+Components[[#This Row],[State 4]]*Components[[#This Row],[Weight 
state 4]])*100</f>
        <v>11.600000000000001</v>
      </c>
    </row>
    <row r="39" spans="2:22" x14ac:dyDescent="0.25">
      <c r="H39" s="3" t="s">
        <v>319</v>
      </c>
      <c r="I39" s="3" t="s">
        <v>333</v>
      </c>
      <c r="J39" s="25">
        <v>213</v>
      </c>
      <c r="K39" s="58">
        <v>1591.28</v>
      </c>
      <c r="L39" s="33">
        <v>0.04</v>
      </c>
      <c r="M39" s="33">
        <v>0</v>
      </c>
      <c r="O39" s="3" t="s">
        <v>333</v>
      </c>
      <c r="P39" s="25">
        <f>SUMPRODUCT((Elements[Component]=Components[[#This Row],[Component]])*Elements[Quantity]*Elements[Replacement
unit cost])</f>
        <v>1522901.9099999997</v>
      </c>
      <c r="Q39" s="25">
        <f>SUMPRODUCT((Elements[Component]=Components[[#This Row],[Component]])*Elements[Quantity]*Elements[Replacement
unit cost]*Elements[Percent in state 3])</f>
        <v>13557.705600000001</v>
      </c>
      <c r="R39" s="25">
        <f>SUMPRODUCT((Elements[Component]=Components[[#This Row],[Component]])*Elements[Quantity]*Elements[Replacement
unit cost]*Elements[Percent in state 4])</f>
        <v>25252.215</v>
      </c>
      <c r="S39" s="29">
        <v>0.4</v>
      </c>
      <c r="T39" s="29">
        <v>0.5</v>
      </c>
      <c r="U39" s="29">
        <v>1</v>
      </c>
      <c r="V39" s="58">
        <f>Components[[#This Row],[Component weight]]/Components[[#This Row],[Total value (TEV)]]*(Components[[#This Row],[State 3]]*Components[[#This Row],[Weight 
state 3]]+Components[[#This Row],[State 4]]*Components[[#This Row],[Weight 
state 4]])*100</f>
        <v>0.84131663607933893</v>
      </c>
    </row>
    <row r="40" spans="2:22" x14ac:dyDescent="0.25">
      <c r="H40" s="3" t="s">
        <v>320</v>
      </c>
      <c r="I40" s="3" t="s">
        <v>333</v>
      </c>
      <c r="J40" s="25">
        <v>24</v>
      </c>
      <c r="K40" s="58">
        <v>38809.879999999997</v>
      </c>
      <c r="L40" s="33">
        <v>0</v>
      </c>
      <c r="M40" s="33">
        <v>0</v>
      </c>
    </row>
    <row r="41" spans="2:22" x14ac:dyDescent="0.25">
      <c r="H41" s="3" t="s">
        <v>321</v>
      </c>
      <c r="I41" s="3" t="s">
        <v>333</v>
      </c>
      <c r="J41" s="25">
        <v>213</v>
      </c>
      <c r="K41" s="58">
        <v>1185.55</v>
      </c>
      <c r="L41" s="33">
        <v>0</v>
      </c>
      <c r="M41" s="33">
        <v>0.1</v>
      </c>
      <c r="U41" s="5" t="s">
        <v>335</v>
      </c>
      <c r="V41" s="35">
        <f>SUM(Components[Decay
index])</f>
        <v>19.441316636079339</v>
      </c>
    </row>
    <row r="42" spans="2:22" x14ac:dyDescent="0.25">
      <c r="H42" s="3" t="s">
        <v>322</v>
      </c>
      <c r="I42" s="3" t="s">
        <v>334</v>
      </c>
      <c r="J42" s="25">
        <v>210</v>
      </c>
      <c r="K42" s="58">
        <v>71.569999999999993</v>
      </c>
      <c r="L42" s="33">
        <v>0.3</v>
      </c>
      <c r="M42" s="33">
        <v>0.3</v>
      </c>
    </row>
    <row r="43" spans="2:22" x14ac:dyDescent="0.25">
      <c r="H43" s="3" t="s">
        <v>323</v>
      </c>
      <c r="I43" s="3" t="s">
        <v>334</v>
      </c>
      <c r="J43" s="25">
        <v>96</v>
      </c>
      <c r="K43" s="58">
        <v>9009.48</v>
      </c>
      <c r="L43" s="33">
        <v>0</v>
      </c>
      <c r="M43" s="33">
        <v>0</v>
      </c>
    </row>
    <row r="44" spans="2:22" x14ac:dyDescent="0.25">
      <c r="H44" s="3" t="s">
        <v>324</v>
      </c>
      <c r="I44" s="3" t="s">
        <v>334</v>
      </c>
      <c r="J44" s="25">
        <v>1001</v>
      </c>
      <c r="K44" s="58">
        <v>233.15</v>
      </c>
      <c r="L44" s="33">
        <v>0.1</v>
      </c>
      <c r="M44" s="33">
        <v>0</v>
      </c>
    </row>
    <row r="45" spans="2:22" x14ac:dyDescent="0.25">
      <c r="H45" s="3" t="s">
        <v>327</v>
      </c>
      <c r="I45" s="3" t="s">
        <v>334</v>
      </c>
      <c r="J45" s="25">
        <v>364</v>
      </c>
      <c r="K45" s="58">
        <v>253.92</v>
      </c>
      <c r="L45" s="33">
        <v>0</v>
      </c>
      <c r="M45" s="33">
        <v>0</v>
      </c>
    </row>
    <row r="49" spans="24:32" x14ac:dyDescent="0.25">
      <c r="Z49" s="243" t="s">
        <v>348</v>
      </c>
      <c r="AA49" s="243"/>
      <c r="AB49" s="243"/>
      <c r="AD49" s="243" t="s">
        <v>358</v>
      </c>
      <c r="AE49" s="243"/>
      <c r="AF49" s="243"/>
    </row>
    <row r="50" spans="24:32" x14ac:dyDescent="0.25">
      <c r="X50" s="116" t="s">
        <v>134</v>
      </c>
      <c r="Z50" s="154" t="s">
        <v>331</v>
      </c>
      <c r="AA50" s="154" t="s">
        <v>332</v>
      </c>
      <c r="AB50" s="154" t="s">
        <v>333</v>
      </c>
      <c r="AC50" s="5"/>
      <c r="AD50" s="154" t="s">
        <v>331</v>
      </c>
      <c r="AE50" s="154" t="s">
        <v>332</v>
      </c>
      <c r="AF50" s="154" t="s">
        <v>333</v>
      </c>
    </row>
    <row r="51" spans="24:32" x14ac:dyDescent="0.25">
      <c r="X51" s="66" t="s">
        <v>363</v>
      </c>
      <c r="Z51" s="29">
        <v>0.2</v>
      </c>
      <c r="AA51" s="29">
        <v>0.4</v>
      </c>
      <c r="AB51" s="29">
        <v>0.4</v>
      </c>
      <c r="AD51" s="29">
        <v>0.5</v>
      </c>
      <c r="AE51" s="29">
        <v>0.5</v>
      </c>
      <c r="AF51" s="29">
        <v>0.5</v>
      </c>
    </row>
    <row r="52" spans="24:32" x14ac:dyDescent="0.25">
      <c r="X52" s="66" t="s">
        <v>364</v>
      </c>
      <c r="Z52" s="29">
        <v>0.2</v>
      </c>
      <c r="AA52" s="29">
        <v>0.4</v>
      </c>
      <c r="AB52" s="29">
        <v>0.4</v>
      </c>
      <c r="AD52" s="29">
        <v>0.5</v>
      </c>
      <c r="AE52" s="29">
        <v>0.5</v>
      </c>
      <c r="AF52" s="29">
        <v>0.5</v>
      </c>
    </row>
    <row r="53" spans="24:32" x14ac:dyDescent="0.25">
      <c r="X53" s="66" t="s">
        <v>126</v>
      </c>
      <c r="Z53" s="29">
        <v>0.2</v>
      </c>
      <c r="AA53" s="29">
        <v>0.4</v>
      </c>
      <c r="AB53" s="29">
        <v>0.4</v>
      </c>
      <c r="AD53" s="29">
        <v>0.5</v>
      </c>
      <c r="AE53" s="29">
        <v>0.5</v>
      </c>
      <c r="AF53" s="29">
        <v>0.5</v>
      </c>
    </row>
    <row r="54" spans="24:32" x14ac:dyDescent="0.25">
      <c r="X54" s="66" t="s">
        <v>127</v>
      </c>
      <c r="Z54" s="29">
        <v>0.4</v>
      </c>
      <c r="AA54" s="29">
        <v>0.4</v>
      </c>
      <c r="AB54" s="29">
        <v>0.2</v>
      </c>
      <c r="AD54" s="29">
        <v>0.1</v>
      </c>
      <c r="AE54" s="29">
        <v>0.5</v>
      </c>
      <c r="AF54" s="29">
        <v>0.5</v>
      </c>
    </row>
  </sheetData>
  <mergeCells count="15">
    <mergeCell ref="B13:E13"/>
    <mergeCell ref="B14:C14"/>
    <mergeCell ref="D14:F14"/>
    <mergeCell ref="B22:E22"/>
    <mergeCell ref="C5:F5"/>
    <mergeCell ref="C7:F7"/>
    <mergeCell ref="C9:F9"/>
    <mergeCell ref="Z49:AB49"/>
    <mergeCell ref="AD49:AF49"/>
    <mergeCell ref="B25:E25"/>
    <mergeCell ref="B31:E31"/>
    <mergeCell ref="B23:E23"/>
    <mergeCell ref="Q35:R35"/>
    <mergeCell ref="T35:U35"/>
    <mergeCell ref="L35:M35"/>
  </mergeCells>
  <pageMargins left="0.7" right="0.7" top="0.75" bottom="0.75" header="0.3" footer="0.3"/>
  <pageSetup orientation="portrait" horizontalDpi="4294967293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AE67"/>
  <sheetViews>
    <sheetView showGridLines="0" tabSelected="1" workbookViewId="0">
      <selection activeCell="E53" sqref="E53"/>
    </sheetView>
  </sheetViews>
  <sheetFormatPr defaultColWidth="9.28515625" defaultRowHeight="12.6" x14ac:dyDescent="0.25"/>
  <cols>
    <col min="1" max="1" width="4.85546875" style="3" customWidth="1"/>
    <col min="2" max="2" width="15.85546875" style="5" customWidth="1"/>
    <col min="3" max="6" width="12.7109375" style="3" customWidth="1"/>
    <col min="7" max="7" width="1.85546875" style="3" customWidth="1"/>
    <col min="8" max="11" width="12.7109375" style="3" customWidth="1"/>
    <col min="12" max="12" width="4.85546875" style="3" customWidth="1"/>
    <col min="13" max="17" width="13.85546875" style="3" customWidth="1"/>
    <col min="18" max="18" width="12.85546875" style="3" customWidth="1"/>
    <col min="19" max="26" width="11.85546875" style="3" customWidth="1"/>
    <col min="27" max="55" width="4.85546875" style="3" customWidth="1"/>
    <col min="56" max="16384" width="9.28515625" style="3"/>
  </cols>
  <sheetData>
    <row r="4" spans="1:12" ht="8.1" customHeight="1" x14ac:dyDescent="0.25">
      <c r="A4" s="1"/>
      <c r="B4" s="2"/>
    </row>
    <row r="5" spans="1:12" x14ac:dyDescent="0.25">
      <c r="A5" s="1"/>
      <c r="B5" s="4" t="s">
        <v>1</v>
      </c>
      <c r="C5" s="215" t="s">
        <v>0</v>
      </c>
      <c r="D5" s="216"/>
      <c r="E5" s="216"/>
      <c r="F5" s="217"/>
      <c r="L5" s="5"/>
    </row>
    <row r="6" spans="1:12" ht="3.9" customHeight="1" x14ac:dyDescent="0.25">
      <c r="A6" s="1"/>
      <c r="B6" s="6"/>
      <c r="C6" s="7"/>
      <c r="L6" s="5"/>
    </row>
    <row r="7" spans="1:12" x14ac:dyDescent="0.25">
      <c r="A7" s="1"/>
      <c r="B7" s="6" t="s">
        <v>2</v>
      </c>
      <c r="C7" s="218" t="s">
        <v>3</v>
      </c>
      <c r="D7" s="219"/>
      <c r="E7" s="219"/>
      <c r="F7" s="220"/>
      <c r="H7" s="3" t="s">
        <v>5</v>
      </c>
      <c r="J7" s="8">
        <v>20000</v>
      </c>
    </row>
    <row r="8" spans="1:12" ht="3.9" customHeight="1" x14ac:dyDescent="0.25">
      <c r="A8" s="1"/>
      <c r="B8" s="6"/>
    </row>
    <row r="9" spans="1:12" x14ac:dyDescent="0.25">
      <c r="A9" s="1"/>
      <c r="B9" s="6" t="s">
        <v>4</v>
      </c>
      <c r="C9" s="221">
        <v>2017</v>
      </c>
      <c r="D9" s="222"/>
      <c r="E9" s="222"/>
      <c r="F9" s="223"/>
      <c r="H9" s="3" t="s">
        <v>43</v>
      </c>
      <c r="J9" s="8">
        <v>12345</v>
      </c>
    </row>
    <row r="10" spans="1:12" ht="8.1" customHeight="1" x14ac:dyDescent="0.25">
      <c r="A10" s="9"/>
      <c r="B10" s="10"/>
      <c r="C10" s="5"/>
    </row>
    <row r="11" spans="1:12" x14ac:dyDescent="0.25">
      <c r="A11" s="11" t="s">
        <v>15</v>
      </c>
      <c r="B11" s="11"/>
      <c r="C11" s="11" t="s">
        <v>16</v>
      </c>
      <c r="D11" s="11"/>
      <c r="E11" s="11"/>
      <c r="F11" s="11"/>
      <c r="G11" s="10"/>
      <c r="H11" s="11" t="s">
        <v>17</v>
      </c>
      <c r="I11" s="11"/>
      <c r="J11" s="11"/>
      <c r="K11" s="11"/>
    </row>
    <row r="12" spans="1:12" x14ac:dyDescent="0.25">
      <c r="A12" s="1"/>
      <c r="B12" s="3" t="s">
        <v>50</v>
      </c>
      <c r="C12" s="224" t="s">
        <v>6</v>
      </c>
      <c r="D12" s="225"/>
      <c r="E12" s="225"/>
      <c r="F12" s="226"/>
      <c r="H12" s="12" t="s">
        <v>49</v>
      </c>
      <c r="I12" s="13"/>
      <c r="J12" s="13"/>
      <c r="K12" s="14"/>
    </row>
    <row r="13" spans="1:12" x14ac:dyDescent="0.25">
      <c r="A13" s="1"/>
      <c r="B13" s="3" t="s">
        <v>21</v>
      </c>
      <c r="C13" s="5" t="s">
        <v>13</v>
      </c>
      <c r="D13" s="8">
        <v>54000</v>
      </c>
      <c r="E13" s="5" t="s">
        <v>24</v>
      </c>
      <c r="F13" s="15">
        <v>5.5E-2</v>
      </c>
      <c r="H13" s="5" t="s">
        <v>13</v>
      </c>
      <c r="I13" s="8">
        <v>21000</v>
      </c>
      <c r="J13" s="5" t="s">
        <v>24</v>
      </c>
      <c r="K13" s="15">
        <v>0.03</v>
      </c>
    </row>
    <row r="14" spans="1:12" x14ac:dyDescent="0.25">
      <c r="A14" s="1"/>
      <c r="B14" s="3" t="s">
        <v>48</v>
      </c>
      <c r="C14" s="5" t="s">
        <v>63</v>
      </c>
      <c r="D14" s="8">
        <v>200</v>
      </c>
      <c r="E14" s="5" t="s">
        <v>25</v>
      </c>
      <c r="F14" s="8">
        <v>55</v>
      </c>
      <c r="H14" s="5" t="s">
        <v>63</v>
      </c>
      <c r="I14" s="8">
        <v>100</v>
      </c>
      <c r="J14" s="5" t="s">
        <v>25</v>
      </c>
      <c r="K14" s="8">
        <v>45</v>
      </c>
    </row>
    <row r="15" spans="1:12" x14ac:dyDescent="0.25">
      <c r="A15" s="1"/>
      <c r="B15" s="3" t="s">
        <v>23</v>
      </c>
      <c r="C15" s="5" t="s">
        <v>22</v>
      </c>
      <c r="D15" s="16">
        <v>2.1</v>
      </c>
      <c r="E15" s="5" t="s">
        <v>25</v>
      </c>
      <c r="F15" s="17">
        <v>45</v>
      </c>
      <c r="H15" s="5" t="s">
        <v>22</v>
      </c>
      <c r="I15" s="16">
        <v>1</v>
      </c>
      <c r="J15" s="5" t="s">
        <v>25</v>
      </c>
      <c r="K15" s="17">
        <v>45</v>
      </c>
    </row>
    <row r="16" spans="1:12" x14ac:dyDescent="0.25">
      <c r="A16" s="1"/>
      <c r="B16" s="18" t="s">
        <v>64</v>
      </c>
      <c r="C16" s="5"/>
      <c r="D16" s="19"/>
      <c r="E16" s="5"/>
      <c r="F16" s="19"/>
      <c r="I16" s="5"/>
      <c r="J16" s="19"/>
      <c r="K16" s="19"/>
      <c r="L16" s="5"/>
    </row>
    <row r="17" spans="1:14" x14ac:dyDescent="0.25">
      <c r="A17" s="1"/>
      <c r="B17" s="18" t="s">
        <v>443</v>
      </c>
      <c r="C17" s="5"/>
      <c r="D17" s="19"/>
      <c r="E17" s="5"/>
      <c r="F17" s="19"/>
      <c r="I17" s="5"/>
      <c r="J17" s="19"/>
      <c r="K17" s="19"/>
      <c r="L17" s="5"/>
    </row>
    <row r="18" spans="1:14" ht="8.1" customHeight="1" x14ac:dyDescent="0.25"/>
    <row r="19" spans="1:14" x14ac:dyDescent="0.25">
      <c r="A19" s="11" t="s">
        <v>7</v>
      </c>
      <c r="B19" s="20"/>
      <c r="C19" s="11" t="s">
        <v>44</v>
      </c>
      <c r="D19" s="11"/>
      <c r="E19" s="11"/>
      <c r="F19" s="11"/>
      <c r="G19" s="188"/>
      <c r="H19" s="11" t="s">
        <v>58</v>
      </c>
      <c r="I19" s="11"/>
      <c r="J19" s="11"/>
      <c r="K19" s="197" t="s">
        <v>472</v>
      </c>
    </row>
    <row r="20" spans="1:14" ht="13.2" thickBot="1" x14ac:dyDescent="0.3">
      <c r="A20" s="20" t="s">
        <v>42</v>
      </c>
      <c r="B20" s="21" t="s">
        <v>20</v>
      </c>
      <c r="C20" s="22" t="s">
        <v>10</v>
      </c>
      <c r="D20" s="22" t="s">
        <v>8</v>
      </c>
      <c r="E20" s="22" t="s">
        <v>9</v>
      </c>
      <c r="F20" s="22" t="s">
        <v>470</v>
      </c>
      <c r="G20" s="34" t="s">
        <v>47</v>
      </c>
      <c r="H20" s="22" t="s">
        <v>19</v>
      </c>
      <c r="I20" s="22" t="s">
        <v>467</v>
      </c>
      <c r="J20" s="22" t="s">
        <v>28</v>
      </c>
      <c r="K20" s="20" t="s">
        <v>473</v>
      </c>
    </row>
    <row r="21" spans="1:14" ht="13.8" thickTop="1" thickBot="1" x14ac:dyDescent="0.3">
      <c r="A21" s="11">
        <v>1</v>
      </c>
      <c r="B21" s="24" t="str">
        <f>IF(ISBLANK(INDEX(Scenarios[Class],ProjConsq[[#This Row],[ID]])),"",INDEX(Scenarios[Class],ProjConsq[[#This Row],[ID]]))</f>
        <v>Eq-100</v>
      </c>
      <c r="C21" s="189">
        <v>12345</v>
      </c>
      <c r="D21" s="189">
        <v>50</v>
      </c>
      <c r="E21" s="189">
        <v>6000</v>
      </c>
      <c r="F21" s="189">
        <v>600</v>
      </c>
      <c r="G21" s="34"/>
      <c r="H21" s="190">
        <v>0.01</v>
      </c>
      <c r="I21" s="191">
        <v>0.05</v>
      </c>
      <c r="J21" s="192">
        <v>1</v>
      </c>
      <c r="K21" s="34">
        <f>ProjConsq[[#This Row],[Weight]]*ProjConsq[[#This Row],[Extreme]]*ProjConsq[[#This Row],[Disruption]]*SUMPRODUCT(ProjConsq[[#This Row],[Cost]:[Environment]],CritWeight)</f>
        <v>9.4975000000000005</v>
      </c>
    </row>
    <row r="22" spans="1:14" ht="13.8" thickTop="1" thickBot="1" x14ac:dyDescent="0.3">
      <c r="A22" s="11">
        <v>2</v>
      </c>
      <c r="B22" s="24" t="str">
        <f>IF(ISBLANK(INDEX(Scenarios[Class],ProjConsq[[#This Row],[ID]])),"",INDEX(Scenarios[Class],ProjConsq[[#This Row],[ID]]))</f>
        <v>Fl-100a</v>
      </c>
      <c r="C22" s="189">
        <v>12345</v>
      </c>
      <c r="D22" s="189">
        <v>50</v>
      </c>
      <c r="E22" s="189">
        <v>6000</v>
      </c>
      <c r="F22" s="189">
        <v>600</v>
      </c>
      <c r="G22" s="34"/>
      <c r="H22" s="190">
        <v>0.01</v>
      </c>
      <c r="I22" s="191">
        <v>0.1</v>
      </c>
      <c r="J22" s="192">
        <v>1</v>
      </c>
      <c r="K22" s="34">
        <f>ProjConsq[[#This Row],[Weight]]*ProjConsq[[#This Row],[Extreme]]*ProjConsq[[#This Row],[Disruption]]*SUMPRODUCT(ProjConsq[[#This Row],[Cost]:[Environment]],CritWeight)</f>
        <v>18.995000000000001</v>
      </c>
    </row>
    <row r="23" spans="1:14" ht="13.8" thickTop="1" thickBot="1" x14ac:dyDescent="0.3">
      <c r="A23" s="11">
        <v>3</v>
      </c>
      <c r="B23" s="24" t="str">
        <f>IF(ISBLANK(INDEX(Scenarios[Class],ProjConsq[[#This Row],[ID]])),"",INDEX(Scenarios[Class],ProjConsq[[#This Row],[ID]]))</f>
        <v>Fl-100b</v>
      </c>
      <c r="C23" s="189">
        <v>100</v>
      </c>
      <c r="D23" s="189">
        <v>0</v>
      </c>
      <c r="E23" s="189">
        <v>2000</v>
      </c>
      <c r="F23" s="189">
        <v>200</v>
      </c>
      <c r="G23" s="34"/>
      <c r="H23" s="190">
        <v>0.01</v>
      </c>
      <c r="I23" s="191">
        <v>0.2</v>
      </c>
      <c r="J23" s="192">
        <v>1</v>
      </c>
      <c r="K23" s="34">
        <f>ProjConsq[[#This Row],[Weight]]*ProjConsq[[#This Row],[Extreme]]*ProjConsq[[#This Row],[Disruption]]*SUMPRODUCT(ProjConsq[[#This Row],[Cost]:[Environment]],CritWeight)</f>
        <v>4.6000000000000005</v>
      </c>
    </row>
    <row r="24" spans="1:14" ht="15" customHeight="1" thickTop="1" thickBot="1" x14ac:dyDescent="0.3">
      <c r="A24" s="11">
        <v>4</v>
      </c>
      <c r="B24" s="24" t="str">
        <f>IF(ISBLANK(INDEX(Scenarios[Class],ProjConsq[[#This Row],[ID]])),"",INDEX(Scenarios[Class],ProjConsq[[#This Row],[ID]]))</f>
        <v>Fl-500</v>
      </c>
      <c r="C24" s="189">
        <v>12345</v>
      </c>
      <c r="D24" s="189">
        <v>50</v>
      </c>
      <c r="E24" s="189">
        <v>6000</v>
      </c>
      <c r="F24" s="189">
        <v>600</v>
      </c>
      <c r="G24" s="34"/>
      <c r="H24" s="190">
        <v>2E-3</v>
      </c>
      <c r="I24" s="191">
        <v>0.5</v>
      </c>
      <c r="J24" s="192">
        <v>1</v>
      </c>
      <c r="K24" s="34">
        <f>ProjConsq[[#This Row],[Weight]]*ProjConsq[[#This Row],[Extreme]]*ProjConsq[[#This Row],[Disruption]]*SUMPRODUCT(ProjConsq[[#This Row],[Cost]:[Environment]],CritWeight)</f>
        <v>18.995000000000001</v>
      </c>
    </row>
    <row r="25" spans="1:14" ht="13.8" thickTop="1" thickBot="1" x14ac:dyDescent="0.3">
      <c r="A25" s="11">
        <v>5</v>
      </c>
      <c r="B25" s="24" t="str">
        <f>IF(ISBLANK(INDEX(Scenarios[Class],ProjConsq[[#This Row],[ID]])),"",INDEX(Scenarios[Class],ProjConsq[[#This Row],[ID]]))</f>
        <v>OH-13.5</v>
      </c>
      <c r="C25" s="189">
        <v>100</v>
      </c>
      <c r="D25" s="189">
        <v>70</v>
      </c>
      <c r="E25" s="189">
        <v>200</v>
      </c>
      <c r="F25" s="189">
        <v>40</v>
      </c>
      <c r="G25" s="34"/>
      <c r="H25" s="190">
        <v>1</v>
      </c>
      <c r="I25" s="191">
        <v>0.05</v>
      </c>
      <c r="J25" s="192">
        <v>1</v>
      </c>
      <c r="K25" s="34">
        <f>ProjConsq[[#This Row],[Weight]]*ProjConsq[[#This Row],[Extreme]]*ProjConsq[[#This Row],[Disruption]]*SUMPRODUCT(ProjConsq[[#This Row],[Cost]:[Environment]],CritWeight)</f>
        <v>20.5</v>
      </c>
      <c r="L25" s="28"/>
    </row>
    <row r="26" spans="1:14" ht="13.8" thickTop="1" thickBot="1" x14ac:dyDescent="0.3">
      <c r="A26" s="11">
        <v>6</v>
      </c>
      <c r="B26" s="24" t="str">
        <f>IF(ISBLANK(INDEX(Scenarios[Class],ProjConsq[[#This Row],[ID]])),"",INDEX(Scenarios[Class],ProjConsq[[#This Row],[ID]]))</f>
        <v>AD-0.9</v>
      </c>
      <c r="C26" s="189">
        <v>50</v>
      </c>
      <c r="D26" s="189">
        <v>0</v>
      </c>
      <c r="E26" s="189">
        <v>200</v>
      </c>
      <c r="F26" s="189">
        <v>40</v>
      </c>
      <c r="G26" s="34"/>
      <c r="H26" s="190">
        <v>1</v>
      </c>
      <c r="I26" s="191">
        <v>0.1</v>
      </c>
      <c r="J26" s="192">
        <v>1</v>
      </c>
      <c r="K26" s="34">
        <f>ProjConsq[[#This Row],[Weight]]*ProjConsq[[#This Row],[Extreme]]*ProjConsq[[#This Row],[Disruption]]*SUMPRODUCT(ProjConsq[[#This Row],[Cost]:[Environment]],CritWeight)</f>
        <v>29</v>
      </c>
      <c r="L26" s="28"/>
    </row>
    <row r="27" spans="1:14" ht="13.8" thickTop="1" thickBot="1" x14ac:dyDescent="0.3">
      <c r="A27" s="11">
        <v>7</v>
      </c>
      <c r="B27" s="24" t="str">
        <f>IF(ISBLANK(INDEX(Scenarios[Class],ProjConsq[[#This Row],[ID]])),"",INDEX(Scenarios[Class],ProjConsq[[#This Row],[ID]]))</f>
        <v>Fracture</v>
      </c>
      <c r="C27" s="189">
        <v>12345</v>
      </c>
      <c r="D27" s="189">
        <v>0</v>
      </c>
      <c r="E27" s="189">
        <v>6000</v>
      </c>
      <c r="F27" s="189">
        <v>600</v>
      </c>
      <c r="G27" s="34"/>
      <c r="H27" s="190">
        <v>1</v>
      </c>
      <c r="I27" s="191">
        <v>5.0000000000000001E-3</v>
      </c>
      <c r="J27" s="192">
        <v>1</v>
      </c>
      <c r="K27" s="34">
        <f>ProjConsq[[#This Row],[Weight]]*ProjConsq[[#This Row],[Extreme]]*ProjConsq[[#This Row],[Disruption]]*SUMPRODUCT(ProjConsq[[#This Row],[Cost]:[Environment]],CritWeight)</f>
        <v>94.725000000000009</v>
      </c>
      <c r="L27" s="28"/>
    </row>
    <row r="28" spans="1:14" ht="13.8" thickTop="1" thickBot="1" x14ac:dyDescent="0.3">
      <c r="A28" s="11">
        <v>8</v>
      </c>
      <c r="B28" s="24" t="str">
        <f>IF(ISBLANK(INDEX(Scenarios[Class],ProjConsq[[#This Row],[ID]])),"",INDEX(Scenarios[Class],ProjConsq[[#This Row],[ID]]))</f>
        <v/>
      </c>
      <c r="C28" s="189"/>
      <c r="D28" s="189"/>
      <c r="E28" s="189"/>
      <c r="F28" s="189"/>
      <c r="G28" s="34"/>
      <c r="H28" s="193"/>
      <c r="I28" s="194"/>
      <c r="J28" s="192">
        <v>1</v>
      </c>
      <c r="K28" s="34">
        <f>ProjConsq[[#This Row],[Weight]]*ProjConsq[[#This Row],[Extreme]]*ProjConsq[[#This Row],[Disruption]]*SUMPRODUCT(ProjConsq[[#This Row],[Cost]:[Environment]],CritWeight)</f>
        <v>0</v>
      </c>
      <c r="L28" s="28"/>
    </row>
    <row r="29" spans="1:14" ht="13.8" thickTop="1" thickBot="1" x14ac:dyDescent="0.3">
      <c r="A29" s="11">
        <v>9</v>
      </c>
      <c r="B29" s="24" t="str">
        <f>IF(ISBLANK(INDEX(Scenarios[Class],ProjConsq[[#This Row],[ID]])),"",INDEX(Scenarios[Class],ProjConsq[[#This Row],[ID]]))</f>
        <v/>
      </c>
      <c r="C29" s="189"/>
      <c r="D29" s="189"/>
      <c r="E29" s="189"/>
      <c r="F29" s="189"/>
      <c r="G29" s="34"/>
      <c r="H29" s="193"/>
      <c r="I29" s="194"/>
      <c r="J29" s="192">
        <v>1</v>
      </c>
      <c r="K29" s="34">
        <f>ProjConsq[[#This Row],[Weight]]*ProjConsq[[#This Row],[Extreme]]*ProjConsq[[#This Row],[Disruption]]*SUMPRODUCT(ProjConsq[[#This Row],[Cost]:[Environment]],CritWeight)</f>
        <v>0</v>
      </c>
      <c r="L29" s="28"/>
    </row>
    <row r="30" spans="1:14" ht="13.8" thickTop="1" thickBot="1" x14ac:dyDescent="0.3">
      <c r="A30" s="11">
        <v>10</v>
      </c>
      <c r="B30" s="24" t="str">
        <f>IF(ISBLANK(INDEX(Scenarios[Class],ProjConsq[[#This Row],[ID]])),"",INDEX(Scenarios[Class],ProjConsq[[#This Row],[ID]]))</f>
        <v/>
      </c>
      <c r="C30" s="189"/>
      <c r="D30" s="189"/>
      <c r="E30" s="189"/>
      <c r="F30" s="189"/>
      <c r="G30" s="34"/>
      <c r="H30" s="193"/>
      <c r="I30" s="194"/>
      <c r="J30" s="192">
        <v>1</v>
      </c>
      <c r="K30" s="34">
        <f>ProjConsq[[#This Row],[Weight]]*ProjConsq[[#This Row],[Extreme]]*ProjConsq[[#This Row],[Disruption]]*SUMPRODUCT(ProjConsq[[#This Row],[Cost]:[Environment]],CritWeight)</f>
        <v>0</v>
      </c>
      <c r="L30" s="28"/>
    </row>
    <row r="31" spans="1:14" ht="13.2" thickTop="1" x14ac:dyDescent="0.25">
      <c r="A31" s="11"/>
      <c r="B31" s="65" t="s">
        <v>65</v>
      </c>
      <c r="C31" s="25"/>
      <c r="D31" s="25"/>
      <c r="E31" s="25"/>
      <c r="F31" s="25"/>
      <c r="G31" s="26"/>
      <c r="H31" s="27"/>
      <c r="I31" s="27"/>
      <c r="J31" s="27"/>
      <c r="K31" s="27"/>
      <c r="L31" s="25"/>
      <c r="M31" s="28"/>
      <c r="N31" s="28"/>
    </row>
    <row r="32" spans="1:14" x14ac:dyDescent="0.25">
      <c r="A32" s="11"/>
      <c r="B32" s="62" t="s">
        <v>469</v>
      </c>
      <c r="C32" s="25"/>
      <c r="D32" s="25"/>
      <c r="E32" s="25"/>
      <c r="F32" s="25"/>
      <c r="G32" s="26"/>
      <c r="H32" s="27"/>
      <c r="I32" s="27"/>
      <c r="J32" s="27"/>
      <c r="K32" s="27"/>
      <c r="L32" s="25"/>
      <c r="M32" s="28"/>
      <c r="N32" s="28"/>
    </row>
    <row r="33" spans="1:31" x14ac:dyDescent="0.25">
      <c r="A33" s="32"/>
      <c r="B33" s="18" t="s">
        <v>444</v>
      </c>
      <c r="E33" s="63"/>
      <c r="F33" s="63"/>
      <c r="L33" s="36"/>
    </row>
    <row r="34" spans="1:31" ht="8.1" customHeight="1" x14ac:dyDescent="0.25">
      <c r="B34" s="3"/>
      <c r="R34" s="28"/>
      <c r="S34" s="28"/>
    </row>
    <row r="35" spans="1:31" ht="8.1" customHeight="1" x14ac:dyDescent="0.25">
      <c r="B35" s="3"/>
      <c r="L35" s="36"/>
    </row>
    <row r="36" spans="1:31" ht="13.2" thickBot="1" x14ac:dyDescent="0.3">
      <c r="A36" s="11" t="s">
        <v>51</v>
      </c>
      <c r="B36" s="11"/>
      <c r="C36" s="11"/>
      <c r="D36" s="11"/>
      <c r="E36" s="11"/>
      <c r="F36" s="11"/>
      <c r="H36" s="11" t="s">
        <v>46</v>
      </c>
      <c r="I36" s="11"/>
      <c r="J36" s="11"/>
      <c r="K36" s="11"/>
      <c r="L36" s="36"/>
    </row>
    <row r="37" spans="1:31" ht="13.8" thickTop="1" thickBot="1" x14ac:dyDescent="0.3">
      <c r="A37" s="11"/>
      <c r="B37" s="23"/>
      <c r="C37" s="23" t="s">
        <v>10</v>
      </c>
      <c r="D37" s="23" t="s">
        <v>8</v>
      </c>
      <c r="E37" s="23" t="s">
        <v>9</v>
      </c>
      <c r="F37" s="23" t="s">
        <v>470</v>
      </c>
      <c r="H37" s="30"/>
      <c r="I37" s="30"/>
      <c r="J37" s="23" t="s">
        <v>468</v>
      </c>
      <c r="K37" s="196">
        <v>100</v>
      </c>
      <c r="L37" s="36"/>
    </row>
    <row r="38" spans="1:31" ht="13.8" thickTop="1" thickBot="1" x14ac:dyDescent="0.3">
      <c r="A38" s="11"/>
      <c r="B38" s="30" t="s">
        <v>52</v>
      </c>
      <c r="C38" s="195">
        <f>DeckArea</f>
        <v>20000</v>
      </c>
      <c r="D38" s="195">
        <f>ADTOn+ADTUnder</f>
        <v>75000</v>
      </c>
      <c r="E38" s="195">
        <f>ADTOn*DetourOn+ADTUnder*DetourUnder</f>
        <v>134400</v>
      </c>
      <c r="F38" s="195">
        <f>ADTOn*DetourOn+ADTUnder*DetourUnder</f>
        <v>134400</v>
      </c>
      <c r="H38" s="30"/>
      <c r="I38" s="30"/>
      <c r="J38" s="23" t="s">
        <v>60</v>
      </c>
      <c r="K38" s="31">
        <f>SUM(CritVulnerability)/MaxURC</f>
        <v>5.8566071428571426E-2</v>
      </c>
      <c r="L38" s="36"/>
    </row>
    <row r="39" spans="1:31" ht="13.8" thickTop="1" thickBot="1" x14ac:dyDescent="0.3">
      <c r="A39" s="11"/>
      <c r="B39" s="30" t="s">
        <v>59</v>
      </c>
      <c r="C39" s="196">
        <v>1</v>
      </c>
      <c r="D39" s="196">
        <v>1</v>
      </c>
      <c r="E39" s="196">
        <v>1</v>
      </c>
      <c r="F39" s="196">
        <v>1</v>
      </c>
      <c r="H39" s="30"/>
      <c r="I39" s="30"/>
      <c r="J39" s="23" t="s">
        <v>61</v>
      </c>
      <c r="K39" s="35">
        <f>(1-K38)*100</f>
        <v>94.143392857142857</v>
      </c>
      <c r="L39" s="36"/>
    </row>
    <row r="40" spans="1:31" ht="13.2" thickTop="1" x14ac:dyDescent="0.25">
      <c r="A40" s="11"/>
      <c r="B40" s="30" t="s">
        <v>471</v>
      </c>
      <c r="C40" s="37">
        <f>SUMPRODUCT(ProjConsq[Cost],ProjConsq[Extreme],ProjConsq[Disruption],ProjConsq[Weight])*CritWeight</f>
        <v>102.78749999999999</v>
      </c>
      <c r="D40" s="37">
        <f>SUMPRODUCT(ProjConsq[Safety],ProjConsq[Extreme],ProjConsq[Disruption],ProjConsq[Weight])*CritWeight</f>
        <v>3.625</v>
      </c>
      <c r="E40" s="37">
        <f>SUMPRODUCT(ProjConsq[Mobility],ProjConsq[Extreme],ProjConsq[Disruption],ProjConsq[Weight])*CritWeight</f>
        <v>79</v>
      </c>
      <c r="F40" s="37">
        <f>SUMPRODUCT(ProjConsq[Environment],ProjConsq[Extreme],ProjConsq[Disruption],ProjConsq[Weight])*CritWeight</f>
        <v>10.9</v>
      </c>
      <c r="H40" s="30"/>
      <c r="I40" s="30"/>
      <c r="J40" s="23" t="s">
        <v>62</v>
      </c>
      <c r="K40" s="35">
        <f>SUM(SocialCost)</f>
        <v>196.3125</v>
      </c>
      <c r="L40" s="36"/>
    </row>
    <row r="41" spans="1:31" x14ac:dyDescent="0.25">
      <c r="A41" s="11"/>
      <c r="B41" s="30" t="s">
        <v>14</v>
      </c>
      <c r="C41" s="38">
        <f>C40*1000/C38</f>
        <v>5.1393750000000002</v>
      </c>
      <c r="D41" s="38">
        <f t="shared" ref="D41:F41" si="0">D40*1000/D38</f>
        <v>4.8333333333333332E-2</v>
      </c>
      <c r="E41" s="38">
        <f t="shared" si="0"/>
        <v>0.58779761904761907</v>
      </c>
      <c r="F41" s="38">
        <f t="shared" si="0"/>
        <v>8.1101190476190479E-2</v>
      </c>
      <c r="L41" s="36"/>
    </row>
    <row r="42" spans="1:31" x14ac:dyDescent="0.25">
      <c r="A42" s="11"/>
      <c r="B42" s="64" t="s">
        <v>445</v>
      </c>
      <c r="AB42" s="31"/>
      <c r="AC42" s="31"/>
      <c r="AD42" s="31"/>
      <c r="AE42" s="31"/>
    </row>
    <row r="43" spans="1:31" x14ac:dyDescent="0.25">
      <c r="A43" s="11"/>
    </row>
    <row r="44" spans="1:31" ht="12.75" customHeight="1" x14ac:dyDescent="0.25">
      <c r="A44" s="11"/>
    </row>
    <row r="45" spans="1:31" x14ac:dyDescent="0.25">
      <c r="A45" s="11"/>
    </row>
    <row r="46" spans="1:31" x14ac:dyDescent="0.25">
      <c r="A46" s="11"/>
    </row>
    <row r="47" spans="1:31" x14ac:dyDescent="0.25">
      <c r="A47" s="11"/>
    </row>
    <row r="48" spans="1:31" x14ac:dyDescent="0.25">
      <c r="A48" s="11"/>
    </row>
    <row r="49" spans="1:7" x14ac:dyDescent="0.25">
      <c r="A49" s="11"/>
    </row>
    <row r="50" spans="1:7" x14ac:dyDescent="0.25">
      <c r="A50" s="11"/>
    </row>
    <row r="61" spans="1:7" x14ac:dyDescent="0.25">
      <c r="C61" s="187"/>
      <c r="D61" s="187"/>
      <c r="E61" s="187"/>
      <c r="F61" s="187"/>
      <c r="G61" s="187"/>
    </row>
    <row r="62" spans="1:7" x14ac:dyDescent="0.25">
      <c r="C62" s="187"/>
      <c r="D62" s="187"/>
      <c r="E62" s="187"/>
      <c r="F62" s="187"/>
      <c r="G62" s="187"/>
    </row>
    <row r="63" spans="1:7" x14ac:dyDescent="0.25">
      <c r="C63" s="187"/>
      <c r="D63" s="187"/>
      <c r="E63" s="187"/>
      <c r="F63" s="187"/>
      <c r="G63" s="187"/>
    </row>
    <row r="64" spans="1:7" x14ac:dyDescent="0.25">
      <c r="C64" s="187"/>
      <c r="D64" s="187"/>
      <c r="E64" s="187"/>
      <c r="F64" s="187"/>
      <c r="G64" s="187"/>
    </row>
    <row r="65" spans="3:7" x14ac:dyDescent="0.25">
      <c r="C65" s="187"/>
      <c r="D65" s="187"/>
      <c r="E65" s="187"/>
      <c r="F65" s="187"/>
      <c r="G65" s="187"/>
    </row>
    <row r="66" spans="3:7" x14ac:dyDescent="0.25">
      <c r="C66" s="187"/>
      <c r="D66" s="187"/>
      <c r="E66" s="187"/>
      <c r="F66" s="187"/>
      <c r="G66" s="187"/>
    </row>
    <row r="67" spans="3:7" x14ac:dyDescent="0.25">
      <c r="C67" s="187"/>
      <c r="D67" s="187"/>
      <c r="E67" s="187"/>
      <c r="F67" s="187"/>
      <c r="G67" s="187"/>
    </row>
  </sheetData>
  <mergeCells count="4">
    <mergeCell ref="C5:F5"/>
    <mergeCell ref="C7:F7"/>
    <mergeCell ref="C9:F9"/>
    <mergeCell ref="C12:F12"/>
  </mergeCells>
  <conditionalFormatting sqref="H21:H30">
    <cfRule type="expression" dxfId="97" priority="1">
      <formula>H21=1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8" zoomScale="90" zoomScaleNormal="90" workbookViewId="0">
      <selection activeCell="B37" sqref="B37"/>
    </sheetView>
  </sheetViews>
  <sheetFormatPr defaultRowHeight="10.199999999999999" x14ac:dyDescent="0.2"/>
  <cols>
    <col min="2" max="2" width="23.28515625" customWidth="1"/>
    <col min="3" max="3" width="15" customWidth="1"/>
    <col min="4" max="4" width="8.42578125" customWidth="1"/>
    <col min="5" max="5" width="12.7109375" customWidth="1"/>
    <col min="6" max="6" width="4.140625" customWidth="1"/>
    <col min="7" max="7" width="7.140625" customWidth="1"/>
  </cols>
  <sheetData>
    <row r="1" spans="1:7" ht="12.6" x14ac:dyDescent="0.25">
      <c r="A1" s="3"/>
      <c r="B1" s="3"/>
      <c r="C1" s="3"/>
      <c r="D1" s="3"/>
      <c r="E1" s="3"/>
    </row>
    <row r="2" spans="1:7" ht="12.6" x14ac:dyDescent="0.25">
      <c r="A2" s="3"/>
      <c r="B2" s="3"/>
      <c r="C2" s="3"/>
      <c r="D2" s="3"/>
      <c r="E2" s="3"/>
    </row>
    <row r="3" spans="1:7" ht="12.6" x14ac:dyDescent="0.25">
      <c r="A3" s="3"/>
      <c r="B3" s="3"/>
      <c r="C3" s="3"/>
      <c r="D3" s="3"/>
      <c r="E3" s="3"/>
    </row>
    <row r="4" spans="1:7" ht="12.6" x14ac:dyDescent="0.25">
      <c r="A4" s="172"/>
      <c r="B4" s="3"/>
      <c r="C4" s="3"/>
      <c r="D4" s="3"/>
      <c r="E4" s="3"/>
    </row>
    <row r="5" spans="1:7" ht="12.6" x14ac:dyDescent="0.25">
      <c r="A5" s="172">
        <v>1</v>
      </c>
      <c r="B5" s="4" t="s">
        <v>1</v>
      </c>
      <c r="C5" s="215" t="s">
        <v>0</v>
      </c>
      <c r="D5" s="216"/>
      <c r="E5" s="217"/>
    </row>
    <row r="6" spans="1:7" ht="12.6" x14ac:dyDescent="0.25">
      <c r="A6" s="172"/>
      <c r="B6" s="6"/>
      <c r="C6" s="7"/>
      <c r="D6" s="3"/>
      <c r="E6" s="3"/>
    </row>
    <row r="7" spans="1:7" ht="12.6" x14ac:dyDescent="0.25">
      <c r="A7" s="172">
        <v>2</v>
      </c>
      <c r="B7" s="4" t="s">
        <v>299</v>
      </c>
      <c r="C7" s="215" t="s">
        <v>291</v>
      </c>
      <c r="D7" s="216"/>
      <c r="E7" s="217"/>
    </row>
    <row r="8" spans="1:7" ht="12.6" x14ac:dyDescent="0.25">
      <c r="A8" s="172"/>
      <c r="B8" s="6"/>
      <c r="C8" s="7"/>
      <c r="D8" s="3"/>
      <c r="E8" s="3"/>
    </row>
    <row r="9" spans="1:7" ht="12.6" x14ac:dyDescent="0.25">
      <c r="A9" s="172">
        <v>3</v>
      </c>
      <c r="B9" s="6" t="s">
        <v>66</v>
      </c>
      <c r="C9" s="221" t="s">
        <v>365</v>
      </c>
      <c r="D9" s="222"/>
      <c r="E9" s="223"/>
    </row>
    <row r="10" spans="1:7" ht="12.6" x14ac:dyDescent="0.25">
      <c r="A10" s="3"/>
      <c r="B10" s="3"/>
      <c r="C10" s="3"/>
      <c r="D10" s="3"/>
      <c r="E10" s="3"/>
    </row>
    <row r="11" spans="1:7" ht="12.6" x14ac:dyDescent="0.25">
      <c r="A11" s="172" t="s">
        <v>485</v>
      </c>
      <c r="B11" s="172"/>
      <c r="C11" s="172"/>
      <c r="D11" s="172"/>
      <c r="E11" s="172"/>
      <c r="F11" s="172"/>
      <c r="G11" s="172"/>
    </row>
    <row r="12" spans="1:7" ht="12.6" x14ac:dyDescent="0.25">
      <c r="A12" s="173"/>
      <c r="B12" s="3"/>
      <c r="C12" s="3"/>
      <c r="D12" s="3"/>
      <c r="E12" s="3"/>
    </row>
    <row r="13" spans="1:7" ht="12.6" x14ac:dyDescent="0.25">
      <c r="A13" s="172">
        <v>4</v>
      </c>
      <c r="B13" s="227" t="s">
        <v>487</v>
      </c>
      <c r="C13" s="227"/>
      <c r="D13" s="252"/>
      <c r="E13" s="131"/>
    </row>
    <row r="14" spans="1:7" ht="27.75" customHeight="1" x14ac:dyDescent="0.2">
      <c r="A14" s="174">
        <v>5</v>
      </c>
      <c r="B14" s="230" t="s">
        <v>488</v>
      </c>
      <c r="C14" s="230"/>
      <c r="D14" s="236"/>
      <c r="E14" s="143"/>
    </row>
    <row r="15" spans="1:7" ht="21" customHeight="1" x14ac:dyDescent="0.25">
      <c r="A15" s="174">
        <v>6</v>
      </c>
      <c r="B15" s="230" t="s">
        <v>489</v>
      </c>
      <c r="C15" s="230"/>
      <c r="D15" s="236"/>
      <c r="E15" s="131"/>
    </row>
    <row r="16" spans="1:7" ht="26.25" customHeight="1" x14ac:dyDescent="0.25">
      <c r="A16" s="205">
        <v>7</v>
      </c>
      <c r="B16" s="248" t="s">
        <v>490</v>
      </c>
      <c r="C16" s="248"/>
      <c r="D16" s="249"/>
      <c r="E16" s="132">
        <f>SUM(E13:E15)</f>
        <v>0</v>
      </c>
    </row>
    <row r="17" spans="1:10" ht="12.6" x14ac:dyDescent="0.25">
      <c r="A17" s="3"/>
      <c r="B17" s="202"/>
      <c r="C17" s="202"/>
      <c r="D17" s="202"/>
      <c r="E17" s="3"/>
    </row>
    <row r="18" spans="1:10" ht="12.6" x14ac:dyDescent="0.25">
      <c r="A18" s="172" t="s">
        <v>504</v>
      </c>
      <c r="B18" s="203"/>
      <c r="C18" s="203"/>
      <c r="D18" s="203"/>
      <c r="E18" s="172"/>
      <c r="F18" s="172"/>
      <c r="G18" s="172"/>
    </row>
    <row r="19" spans="1:10" ht="12.6" x14ac:dyDescent="0.25">
      <c r="A19" s="172"/>
      <c r="B19" s="202"/>
      <c r="C19" s="202"/>
      <c r="D19" s="202"/>
      <c r="E19" s="3"/>
    </row>
    <row r="20" spans="1:10" ht="12.6" x14ac:dyDescent="0.25">
      <c r="A20" s="172">
        <v>9</v>
      </c>
      <c r="B20" s="227" t="s">
        <v>491</v>
      </c>
      <c r="C20" s="227"/>
      <c r="D20" s="252"/>
      <c r="E20" s="132"/>
    </row>
    <row r="21" spans="1:10" ht="28.5" customHeight="1" x14ac:dyDescent="0.2">
      <c r="A21" s="174">
        <f t="shared" ref="A21:A23" si="0">+A20+1</f>
        <v>10</v>
      </c>
      <c r="B21" s="230" t="s">
        <v>492</v>
      </c>
      <c r="C21" s="230"/>
      <c r="D21" s="236"/>
      <c r="E21" s="143"/>
    </row>
    <row r="22" spans="1:10" ht="13.5" customHeight="1" x14ac:dyDescent="0.25">
      <c r="A22" s="172">
        <f t="shared" si="0"/>
        <v>11</v>
      </c>
      <c r="B22" s="202" t="s">
        <v>503</v>
      </c>
      <c r="C22" s="202"/>
      <c r="D22" s="202"/>
      <c r="E22" s="177"/>
    </row>
    <row r="23" spans="1:10" ht="24.75" customHeight="1" x14ac:dyDescent="0.25">
      <c r="A23" s="172">
        <f t="shared" si="0"/>
        <v>12</v>
      </c>
      <c r="B23" s="248" t="s">
        <v>505</v>
      </c>
      <c r="C23" s="248"/>
      <c r="D23" s="249"/>
      <c r="E23" s="132">
        <f>SUM(E20:E22)</f>
        <v>0</v>
      </c>
    </row>
    <row r="24" spans="1:10" ht="12.6" x14ac:dyDescent="0.25">
      <c r="A24" s="3"/>
      <c r="B24" s="3"/>
      <c r="C24" s="3"/>
      <c r="D24" s="3"/>
      <c r="E24" s="3"/>
    </row>
    <row r="25" spans="1:10" ht="12.6" x14ac:dyDescent="0.25">
      <c r="A25" s="172" t="s">
        <v>486</v>
      </c>
      <c r="B25" s="203"/>
      <c r="C25" s="203"/>
      <c r="D25" s="203"/>
      <c r="E25" s="172"/>
      <c r="F25" s="172"/>
      <c r="G25" s="172"/>
    </row>
    <row r="26" spans="1:10" ht="12.6" x14ac:dyDescent="0.25">
      <c r="A26" s="172"/>
    </row>
    <row r="27" spans="1:10" ht="15.75" customHeight="1" x14ac:dyDescent="0.25">
      <c r="A27" s="172">
        <f>+A23+1</f>
        <v>13</v>
      </c>
      <c r="B27" s="3" t="s">
        <v>496</v>
      </c>
      <c r="E27" s="207" t="s">
        <v>494</v>
      </c>
      <c r="F27" s="206"/>
      <c r="I27" s="212" t="s">
        <v>493</v>
      </c>
      <c r="J27" s="3"/>
    </row>
    <row r="28" spans="1:10" ht="18" customHeight="1" x14ac:dyDescent="0.25">
      <c r="A28" s="172">
        <f t="shared" ref="A28:A35" si="1">+A27+1</f>
        <v>14</v>
      </c>
      <c r="B28" s="3" t="s">
        <v>497</v>
      </c>
      <c r="E28" s="207">
        <v>100000</v>
      </c>
      <c r="F28" s="206"/>
      <c r="I28" s="212" t="s">
        <v>494</v>
      </c>
      <c r="J28" s="3"/>
    </row>
    <row r="29" spans="1:10" ht="20.25" customHeight="1" x14ac:dyDescent="0.25">
      <c r="A29" s="172">
        <f t="shared" si="1"/>
        <v>15</v>
      </c>
      <c r="B29" s="3" t="s">
        <v>498</v>
      </c>
      <c r="E29" s="210"/>
      <c r="F29" s="210"/>
      <c r="I29" s="212" t="s">
        <v>495</v>
      </c>
      <c r="J29" s="3"/>
    </row>
    <row r="30" spans="1:10" ht="12.6" x14ac:dyDescent="0.25">
      <c r="A30" s="172">
        <f t="shared" si="1"/>
        <v>16</v>
      </c>
      <c r="B30" s="3" t="s">
        <v>499</v>
      </c>
      <c r="E30" s="207">
        <v>135</v>
      </c>
      <c r="F30" s="206"/>
    </row>
    <row r="31" spans="1:10" ht="13.5" customHeight="1" x14ac:dyDescent="0.25">
      <c r="A31" s="172">
        <f t="shared" si="1"/>
        <v>17</v>
      </c>
      <c r="B31" s="3" t="s">
        <v>500</v>
      </c>
      <c r="D31" s="209"/>
      <c r="E31" s="208">
        <v>170</v>
      </c>
      <c r="F31" s="206"/>
    </row>
    <row r="32" spans="1:10" ht="10.5" customHeight="1" x14ac:dyDescent="0.25">
      <c r="A32" s="172"/>
    </row>
    <row r="33" spans="1:7" ht="18" customHeight="1" x14ac:dyDescent="0.2">
      <c r="A33" s="174">
        <f>+A31+1</f>
        <v>18</v>
      </c>
      <c r="B33" s="204" t="s">
        <v>502</v>
      </c>
      <c r="E33" s="207">
        <f>(+E28*E30)/1000000</f>
        <v>13.5</v>
      </c>
      <c r="F33" s="211" t="s">
        <v>501</v>
      </c>
      <c r="G33" s="207">
        <f>(+E28*E31)/1000000</f>
        <v>17</v>
      </c>
    </row>
    <row r="34" spans="1:7" ht="25.5" customHeight="1" x14ac:dyDescent="0.2">
      <c r="A34" s="174">
        <f t="shared" si="1"/>
        <v>19</v>
      </c>
      <c r="B34" s="230" t="s">
        <v>507</v>
      </c>
      <c r="C34" s="250"/>
      <c r="D34" s="251"/>
      <c r="E34" s="210"/>
      <c r="F34" s="211"/>
      <c r="G34" s="210"/>
    </row>
    <row r="35" spans="1:7" ht="12.75" customHeight="1" x14ac:dyDescent="0.25">
      <c r="A35" s="203">
        <f t="shared" si="1"/>
        <v>20</v>
      </c>
      <c r="B35" s="248" t="s">
        <v>506</v>
      </c>
      <c r="C35" s="248"/>
      <c r="D35" s="213">
        <v>0.68</v>
      </c>
      <c r="E35" s="207">
        <f>+E33*D35</f>
        <v>9.1800000000000015</v>
      </c>
      <c r="F35" s="211" t="s">
        <v>501</v>
      </c>
      <c r="G35" s="207">
        <f>+G33*D35</f>
        <v>11.56</v>
      </c>
    </row>
    <row r="36" spans="1:7" x14ac:dyDescent="0.2">
      <c r="E36" s="210"/>
      <c r="F36" s="210"/>
      <c r="G36" s="210"/>
    </row>
    <row r="37" spans="1:7" ht="12.6" x14ac:dyDescent="0.25">
      <c r="B37" s="3" t="s">
        <v>513</v>
      </c>
      <c r="E37" s="210"/>
      <c r="F37" s="210"/>
      <c r="G37" s="210"/>
    </row>
    <row r="38" spans="1:7" x14ac:dyDescent="0.2">
      <c r="E38" s="210"/>
      <c r="F38" s="210"/>
      <c r="G38" s="210"/>
    </row>
  </sheetData>
  <mergeCells count="12">
    <mergeCell ref="B23:D23"/>
    <mergeCell ref="B34:D34"/>
    <mergeCell ref="B35:C35"/>
    <mergeCell ref="B21:D21"/>
    <mergeCell ref="C5:E5"/>
    <mergeCell ref="C7:E7"/>
    <mergeCell ref="C9:E9"/>
    <mergeCell ref="B14:D14"/>
    <mergeCell ref="B16:D16"/>
    <mergeCell ref="B20:D20"/>
    <mergeCell ref="B13:D13"/>
    <mergeCell ref="B15:D15"/>
  </mergeCells>
  <dataValidations count="1">
    <dataValidation type="list" allowBlank="1" showInputMessage="1" promptTitle="Select bridge type" prompt="Choose one" sqref="E27">
      <formula1>BridgeType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4:N67"/>
  <sheetViews>
    <sheetView showGridLines="0" topLeftCell="A40" workbookViewId="0">
      <selection activeCell="B58" sqref="B58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6" width="9.85546875" style="3" customWidth="1"/>
    <col min="7" max="7" width="9.28515625" style="3"/>
    <col min="8" max="8" width="9.85546875" style="166" customWidth="1"/>
    <col min="9" max="10" width="9.85546875" style="3" customWidth="1"/>
    <col min="11" max="11" width="10.85546875" style="3" customWidth="1"/>
    <col min="12" max="13" width="9.85546875" style="3" customWidth="1"/>
    <col min="14" max="14" width="11.42578125" style="3" customWidth="1"/>
    <col min="15" max="19" width="7.85546875" style="3" customWidth="1"/>
    <col min="20" max="21" width="9.28515625" style="3"/>
    <col min="22" max="22" width="22.7109375" style="3" bestFit="1" customWidth="1"/>
    <col min="23" max="26" width="14.85546875" style="3" customWidth="1"/>
    <col min="27" max="16384" width="9.28515625" style="3"/>
  </cols>
  <sheetData>
    <row r="4" spans="1:6" x14ac:dyDescent="0.25">
      <c r="A4" s="68"/>
    </row>
    <row r="5" spans="1:6" x14ac:dyDescent="0.25">
      <c r="A5" s="68">
        <v>1</v>
      </c>
      <c r="B5" s="4" t="s">
        <v>1</v>
      </c>
      <c r="C5" s="215" t="s">
        <v>0</v>
      </c>
      <c r="D5" s="216"/>
      <c r="E5" s="216"/>
      <c r="F5" s="217"/>
    </row>
    <row r="6" spans="1:6" ht="3.9" customHeight="1" x14ac:dyDescent="0.25">
      <c r="A6" s="68"/>
      <c r="B6" s="6"/>
      <c r="C6" s="7"/>
      <c r="D6" s="7"/>
    </row>
    <row r="7" spans="1:6" x14ac:dyDescent="0.25">
      <c r="A7" s="68">
        <v>2</v>
      </c>
      <c r="B7" s="4" t="s">
        <v>299</v>
      </c>
      <c r="C7" s="215" t="s">
        <v>291</v>
      </c>
      <c r="D7" s="216"/>
      <c r="E7" s="216"/>
      <c r="F7" s="217"/>
    </row>
    <row r="8" spans="1:6" ht="3.9" customHeight="1" x14ac:dyDescent="0.25">
      <c r="A8" s="68"/>
      <c r="B8" s="6"/>
      <c r="C8" s="7"/>
      <c r="D8" s="7"/>
    </row>
    <row r="9" spans="1:6" x14ac:dyDescent="0.25">
      <c r="A9" s="68">
        <v>3</v>
      </c>
      <c r="B9" s="6" t="s">
        <v>66</v>
      </c>
      <c r="C9" s="221" t="s">
        <v>365</v>
      </c>
      <c r="D9" s="222"/>
      <c r="E9" s="222"/>
      <c r="F9" s="223"/>
    </row>
    <row r="10" spans="1:6" ht="8.1" customHeight="1" x14ac:dyDescent="0.25"/>
    <row r="11" spans="1:6" x14ac:dyDescent="0.25">
      <c r="A11" s="68" t="s">
        <v>408</v>
      </c>
      <c r="B11" s="68"/>
      <c r="C11" s="68"/>
      <c r="D11" s="68"/>
      <c r="E11" s="68"/>
      <c r="F11" s="68"/>
    </row>
    <row r="12" spans="1:6" ht="3.9" customHeight="1" x14ac:dyDescent="0.25">
      <c r="A12" s="67"/>
    </row>
    <row r="13" spans="1:6" x14ac:dyDescent="0.25">
      <c r="A13" s="68">
        <v>4</v>
      </c>
      <c r="B13" s="4" t="s">
        <v>376</v>
      </c>
      <c r="D13" s="238" t="s">
        <v>366</v>
      </c>
      <c r="E13" s="239"/>
      <c r="F13" s="240"/>
    </row>
    <row r="14" spans="1:6" x14ac:dyDescent="0.25">
      <c r="A14" s="68">
        <v>5</v>
      </c>
      <c r="B14" s="4" t="s">
        <v>377</v>
      </c>
      <c r="D14" s="238" t="s">
        <v>367</v>
      </c>
      <c r="E14" s="239"/>
      <c r="F14" s="240"/>
    </row>
    <row r="15" spans="1:6" x14ac:dyDescent="0.25">
      <c r="A15" s="68">
        <v>6</v>
      </c>
      <c r="B15" s="4" t="s">
        <v>378</v>
      </c>
      <c r="D15" s="238" t="s">
        <v>366</v>
      </c>
      <c r="E15" s="239"/>
      <c r="F15" s="240"/>
    </row>
    <row r="16" spans="1:6" x14ac:dyDescent="0.25">
      <c r="A16" s="68">
        <v>7</v>
      </c>
      <c r="B16" s="4" t="s">
        <v>379</v>
      </c>
      <c r="D16" s="238" t="s">
        <v>367</v>
      </c>
      <c r="E16" s="239"/>
      <c r="F16" s="240"/>
    </row>
    <row r="17" spans="1:8" x14ac:dyDescent="0.25">
      <c r="A17" s="68">
        <v>8</v>
      </c>
      <c r="B17" s="166" t="s">
        <v>387</v>
      </c>
      <c r="D17" s="160"/>
      <c r="F17" s="161">
        <v>1943</v>
      </c>
    </row>
    <row r="18" spans="1:8" x14ac:dyDescent="0.25">
      <c r="A18" s="68">
        <v>9</v>
      </c>
      <c r="B18" s="3" t="s">
        <v>406</v>
      </c>
      <c r="D18" s="160"/>
      <c r="F18" s="165" t="s">
        <v>191</v>
      </c>
    </row>
    <row r="19" spans="1:8" ht="8.1" customHeight="1" x14ac:dyDescent="0.25">
      <c r="A19" s="171"/>
      <c r="B19" s="4"/>
      <c r="C19" s="162"/>
      <c r="D19" s="162"/>
      <c r="E19" s="162"/>
      <c r="F19" s="149"/>
    </row>
    <row r="20" spans="1:8" x14ac:dyDescent="0.25">
      <c r="A20" s="68" t="s">
        <v>409</v>
      </c>
      <c r="B20" s="68"/>
      <c r="C20" s="68"/>
      <c r="D20" s="68"/>
      <c r="E20" s="68"/>
      <c r="F20" s="68"/>
    </row>
    <row r="21" spans="1:8" ht="3.9" customHeight="1" x14ac:dyDescent="0.25">
      <c r="A21" s="68"/>
    </row>
    <row r="22" spans="1:8" x14ac:dyDescent="0.25">
      <c r="A22" s="68">
        <v>10</v>
      </c>
      <c r="B22" s="4" t="s">
        <v>388</v>
      </c>
      <c r="C22" s="238" t="s">
        <v>49</v>
      </c>
      <c r="D22" s="239"/>
      <c r="E22" s="239"/>
      <c r="F22" s="240"/>
    </row>
    <row r="23" spans="1:8" x14ac:dyDescent="0.25">
      <c r="A23" s="68">
        <v>11</v>
      </c>
      <c r="B23" s="3" t="s">
        <v>292</v>
      </c>
      <c r="F23" s="131">
        <v>23000</v>
      </c>
    </row>
    <row r="24" spans="1:8" x14ac:dyDescent="0.25">
      <c r="A24" s="68">
        <v>12</v>
      </c>
      <c r="B24" s="3" t="s">
        <v>293</v>
      </c>
      <c r="F24" s="132">
        <v>2010</v>
      </c>
    </row>
    <row r="25" spans="1:8" x14ac:dyDescent="0.25">
      <c r="A25" s="68">
        <v>13</v>
      </c>
      <c r="B25" s="3" t="s">
        <v>294</v>
      </c>
      <c r="F25" s="131">
        <v>29000</v>
      </c>
    </row>
    <row r="26" spans="1:8" x14ac:dyDescent="0.25">
      <c r="A26" s="68">
        <v>14</v>
      </c>
      <c r="B26" s="3" t="s">
        <v>295</v>
      </c>
      <c r="F26" s="132">
        <v>2030</v>
      </c>
    </row>
    <row r="27" spans="1:8" s="150" customFormat="1" x14ac:dyDescent="0.2">
      <c r="A27" s="95">
        <v>15</v>
      </c>
      <c r="B27" s="230" t="s">
        <v>411</v>
      </c>
      <c r="C27" s="230"/>
      <c r="D27" s="230"/>
      <c r="E27" s="230"/>
      <c r="F27" s="134">
        <f>(F25/F23)^(1/(F26-F24))-1</f>
        <v>1.165750592435133E-2</v>
      </c>
      <c r="H27" s="61"/>
    </row>
    <row r="28" spans="1:8" x14ac:dyDescent="0.25">
      <c r="A28" s="68">
        <v>16</v>
      </c>
      <c r="B28" s="3" t="s">
        <v>296</v>
      </c>
      <c r="F28" s="133">
        <v>5.5E-2</v>
      </c>
    </row>
    <row r="29" spans="1:8" x14ac:dyDescent="0.25">
      <c r="A29" s="68">
        <v>17</v>
      </c>
      <c r="B29" s="3" t="s">
        <v>390</v>
      </c>
      <c r="F29" s="165">
        <v>2</v>
      </c>
    </row>
    <row r="30" spans="1:8" x14ac:dyDescent="0.25">
      <c r="A30" s="68">
        <v>18</v>
      </c>
      <c r="B30" s="166" t="s">
        <v>407</v>
      </c>
      <c r="D30" s="160"/>
      <c r="F30" s="165">
        <v>4</v>
      </c>
    </row>
    <row r="31" spans="1:8" x14ac:dyDescent="0.25">
      <c r="A31" s="68">
        <v>19</v>
      </c>
      <c r="B31" s="3" t="s">
        <v>412</v>
      </c>
      <c r="F31" s="170">
        <f>E36</f>
        <v>0.42499999999999999</v>
      </c>
    </row>
    <row r="32" spans="1:8" x14ac:dyDescent="0.25">
      <c r="A32" s="68"/>
      <c r="B32" s="92" t="s">
        <v>368</v>
      </c>
      <c r="E32" s="3">
        <v>1</v>
      </c>
      <c r="F32" s="157"/>
    </row>
    <row r="33" spans="1:8" x14ac:dyDescent="0.25">
      <c r="A33" s="68"/>
      <c r="B33" s="92" t="s">
        <v>369</v>
      </c>
      <c r="E33" s="3">
        <v>0.85</v>
      </c>
      <c r="F33" s="157"/>
    </row>
    <row r="34" spans="1:8" x14ac:dyDescent="0.25">
      <c r="A34" s="68"/>
      <c r="B34" s="92" t="s">
        <v>370</v>
      </c>
      <c r="E34" s="3">
        <v>0.8</v>
      </c>
      <c r="F34" s="157"/>
    </row>
    <row r="35" spans="1:8" x14ac:dyDescent="0.25">
      <c r="A35" s="68"/>
      <c r="B35" s="92" t="s">
        <v>371</v>
      </c>
      <c r="E35" s="3">
        <v>0.5</v>
      </c>
      <c r="F35" s="157"/>
    </row>
    <row r="36" spans="1:8" x14ac:dyDescent="0.25">
      <c r="A36" s="68"/>
      <c r="B36" s="92" t="s">
        <v>372</v>
      </c>
      <c r="E36" s="3">
        <v>0.42499999999999999</v>
      </c>
      <c r="F36" s="157"/>
    </row>
    <row r="37" spans="1:8" x14ac:dyDescent="0.25">
      <c r="A37" s="68"/>
      <c r="B37" s="92" t="s">
        <v>373</v>
      </c>
      <c r="E37" s="3">
        <v>0.4</v>
      </c>
      <c r="F37" s="157"/>
    </row>
    <row r="38" spans="1:8" x14ac:dyDescent="0.25">
      <c r="A38" s="68">
        <v>20</v>
      </c>
      <c r="B38" s="3" t="s">
        <v>375</v>
      </c>
      <c r="F38" s="165">
        <v>100</v>
      </c>
    </row>
    <row r="39" spans="1:8" s="150" customFormat="1" x14ac:dyDescent="0.2">
      <c r="A39" s="95">
        <v>21</v>
      </c>
      <c r="B39" s="230" t="s">
        <v>414</v>
      </c>
      <c r="C39" s="241"/>
      <c r="D39" s="241"/>
      <c r="E39" s="241"/>
      <c r="F39" s="164">
        <v>1</v>
      </c>
      <c r="H39" s="61"/>
    </row>
    <row r="40" spans="1:8" s="150" customFormat="1" x14ac:dyDescent="0.2">
      <c r="A40" s="95">
        <v>22</v>
      </c>
      <c r="B40" s="230" t="s">
        <v>413</v>
      </c>
      <c r="C40" s="230"/>
      <c r="D40" s="230"/>
      <c r="E40" s="230"/>
      <c r="F40" s="135">
        <f>365*F23/((F27+1)^(F24-F17))*F28*F31*F39</f>
        <v>90266.640150133477</v>
      </c>
      <c r="H40" s="167"/>
    </row>
    <row r="41" spans="1:8" ht="8.1" customHeight="1" x14ac:dyDescent="0.25"/>
    <row r="42" spans="1:8" x14ac:dyDescent="0.25">
      <c r="A42" s="68" t="s">
        <v>410</v>
      </c>
      <c r="B42" s="68"/>
      <c r="C42" s="68"/>
      <c r="D42" s="68"/>
      <c r="E42" s="68"/>
      <c r="F42" s="68"/>
    </row>
    <row r="43" spans="1:8" ht="3.9" customHeight="1" x14ac:dyDescent="0.25">
      <c r="A43" s="68"/>
    </row>
    <row r="44" spans="1:8" s="150" customFormat="1" x14ac:dyDescent="0.2">
      <c r="A44" s="95">
        <v>23</v>
      </c>
      <c r="B44" s="241" t="s">
        <v>380</v>
      </c>
      <c r="C44" s="241"/>
      <c r="D44" s="241"/>
      <c r="E44" s="244"/>
      <c r="F44" s="99" t="s">
        <v>185</v>
      </c>
      <c r="H44" s="61"/>
    </row>
    <row r="45" spans="1:8" s="150" customFormat="1" x14ac:dyDescent="0.2">
      <c r="A45" s="95">
        <v>24</v>
      </c>
      <c r="B45" s="241" t="s">
        <v>415</v>
      </c>
      <c r="C45" s="241"/>
      <c r="D45" s="241"/>
      <c r="E45" s="244"/>
      <c r="F45" s="50">
        <v>5</v>
      </c>
      <c r="H45" s="61"/>
    </row>
    <row r="46" spans="1:8" x14ac:dyDescent="0.25">
      <c r="A46" s="68">
        <v>25</v>
      </c>
      <c r="B46" s="3" t="s">
        <v>374</v>
      </c>
      <c r="F46" s="3">
        <v>1.6</v>
      </c>
    </row>
    <row r="47" spans="1:8" s="150" customFormat="1" x14ac:dyDescent="0.25">
      <c r="A47" s="68">
        <v>26</v>
      </c>
      <c r="B47" s="3" t="s">
        <v>381</v>
      </c>
      <c r="C47" s="3"/>
      <c r="D47" s="3"/>
      <c r="E47" s="3"/>
      <c r="F47" s="3">
        <v>1.3</v>
      </c>
      <c r="H47" s="61"/>
    </row>
    <row r="48" spans="1:8" s="150" customFormat="1" x14ac:dyDescent="0.25">
      <c r="A48" s="68">
        <v>27</v>
      </c>
      <c r="B48" s="3" t="s">
        <v>382</v>
      </c>
      <c r="C48" s="3"/>
      <c r="D48" s="3"/>
      <c r="E48" s="3"/>
      <c r="F48" s="158">
        <v>1100000000</v>
      </c>
      <c r="H48" s="61"/>
    </row>
    <row r="49" spans="1:14" s="150" customFormat="1" ht="3.9" customHeight="1" x14ac:dyDescent="0.25">
      <c r="A49" s="68"/>
      <c r="B49" s="3"/>
      <c r="C49" s="3"/>
      <c r="D49" s="3"/>
      <c r="E49" s="3"/>
      <c r="F49" s="158"/>
      <c r="H49" s="61"/>
    </row>
    <row r="50" spans="1:14" s="150" customFormat="1" x14ac:dyDescent="0.2">
      <c r="A50" s="95">
        <v>28</v>
      </c>
      <c r="B50" s="230" t="s">
        <v>389</v>
      </c>
      <c r="C50" s="241"/>
      <c r="D50" s="241"/>
      <c r="E50" s="241"/>
      <c r="F50" s="163">
        <f>(F46*F48)/(F40*(F45^3))</f>
        <v>155.98232056252269</v>
      </c>
      <c r="H50" s="61"/>
    </row>
    <row r="51" spans="1:14" s="150" customFormat="1" x14ac:dyDescent="0.2">
      <c r="A51" s="95">
        <v>29</v>
      </c>
      <c r="B51" s="241" t="s">
        <v>383</v>
      </c>
      <c r="C51" s="241"/>
      <c r="D51" s="241"/>
      <c r="E51" s="241"/>
      <c r="F51" s="163">
        <f>IF(F27=0,F50,LOG(F50*F27+1)/LOG(1+F27))</f>
        <v>89.400315184909303</v>
      </c>
      <c r="H51" s="61"/>
    </row>
    <row r="52" spans="1:14" s="150" customFormat="1" ht="3.9" customHeight="1" x14ac:dyDescent="0.2">
      <c r="A52" s="95"/>
      <c r="F52" s="163"/>
      <c r="H52" s="61"/>
    </row>
    <row r="53" spans="1:14" s="150" customFormat="1" x14ac:dyDescent="0.2">
      <c r="A53" s="95">
        <v>30</v>
      </c>
      <c r="B53" s="241" t="s">
        <v>384</v>
      </c>
      <c r="C53" s="241"/>
      <c r="D53" s="241"/>
      <c r="E53" s="241"/>
      <c r="F53" s="163">
        <f>(F47*F48)/(F40*(F45^3))</f>
        <v>126.73563545704968</v>
      </c>
      <c r="H53" s="61"/>
    </row>
    <row r="54" spans="1:14" s="150" customFormat="1" x14ac:dyDescent="0.2">
      <c r="A54" s="95">
        <v>31</v>
      </c>
      <c r="B54" s="241" t="s">
        <v>385</v>
      </c>
      <c r="C54" s="241"/>
      <c r="D54" s="241"/>
      <c r="E54" s="241"/>
      <c r="F54" s="163">
        <f>IF(F27=0,F53,LOG(F53*F27+1)/LOG(1+F27))</f>
        <v>78.27540575352289</v>
      </c>
      <c r="H54" s="61"/>
    </row>
    <row r="55" spans="1:14" s="150" customFormat="1" ht="3.9" customHeight="1" x14ac:dyDescent="0.2">
      <c r="A55" s="95"/>
      <c r="F55" s="163"/>
      <c r="H55" s="61"/>
    </row>
    <row r="56" spans="1:14" s="150" customFormat="1" x14ac:dyDescent="0.2">
      <c r="A56" s="95">
        <v>32</v>
      </c>
      <c r="B56" s="150" t="s">
        <v>386</v>
      </c>
      <c r="F56" s="152">
        <f>IF(F50*F27+1&lt;=0,0,LOGNORMDIST((C7-F17)/F51,0,LN(F51/F54)))</f>
        <v>9.3141077426381835E-2</v>
      </c>
      <c r="H56" s="61"/>
    </row>
    <row r="58" spans="1:14" x14ac:dyDescent="0.25">
      <c r="B58" s="3" t="s">
        <v>511</v>
      </c>
      <c r="H58" s="68" t="s">
        <v>405</v>
      </c>
      <c r="I58" s="68"/>
      <c r="J58" s="68"/>
      <c r="K58" s="68"/>
    </row>
    <row r="59" spans="1:14" ht="25.2" x14ac:dyDescent="0.25">
      <c r="H59" s="128" t="s">
        <v>401</v>
      </c>
      <c r="I59" s="123" t="s">
        <v>402</v>
      </c>
      <c r="J59" s="123" t="s">
        <v>403</v>
      </c>
      <c r="K59" s="123" t="s">
        <v>404</v>
      </c>
    </row>
    <row r="60" spans="1:14" x14ac:dyDescent="0.25">
      <c r="H60" s="168" t="s">
        <v>183</v>
      </c>
      <c r="I60" s="169">
        <v>2.8</v>
      </c>
      <c r="J60" s="169">
        <v>1.7</v>
      </c>
      <c r="K60" s="124" t="s">
        <v>391</v>
      </c>
      <c r="N60" s="158"/>
    </row>
    <row r="61" spans="1:14" x14ac:dyDescent="0.25">
      <c r="H61" s="168" t="s">
        <v>213</v>
      </c>
      <c r="I61" s="169">
        <v>2</v>
      </c>
      <c r="J61" s="169">
        <v>1.4</v>
      </c>
      <c r="K61" s="124" t="s">
        <v>392</v>
      </c>
    </row>
    <row r="62" spans="1:14" x14ac:dyDescent="0.25">
      <c r="H62" s="168" t="s">
        <v>393</v>
      </c>
      <c r="I62" s="169">
        <v>2.4</v>
      </c>
      <c r="J62" s="169">
        <v>1.5</v>
      </c>
      <c r="K62" s="124" t="s">
        <v>394</v>
      </c>
    </row>
    <row r="63" spans="1:14" x14ac:dyDescent="0.25">
      <c r="H63" s="168" t="s">
        <v>203</v>
      </c>
      <c r="I63" s="169">
        <v>1.3</v>
      </c>
      <c r="J63" s="169">
        <v>1.2</v>
      </c>
      <c r="K63" s="124" t="s">
        <v>395</v>
      </c>
    </row>
    <row r="64" spans="1:14" x14ac:dyDescent="0.25">
      <c r="H64" s="168" t="s">
        <v>396</v>
      </c>
      <c r="I64" s="169">
        <v>1.3</v>
      </c>
      <c r="J64" s="169">
        <v>1.2</v>
      </c>
      <c r="K64" s="124" t="s">
        <v>395</v>
      </c>
    </row>
    <row r="65" spans="8:11" x14ac:dyDescent="0.25">
      <c r="H65" s="168" t="s">
        <v>215</v>
      </c>
      <c r="I65" s="169">
        <v>1.6</v>
      </c>
      <c r="J65" s="169">
        <v>1.3</v>
      </c>
      <c r="K65" s="124" t="s">
        <v>397</v>
      </c>
    </row>
    <row r="66" spans="8:11" x14ac:dyDescent="0.25">
      <c r="H66" s="168" t="s">
        <v>185</v>
      </c>
      <c r="I66" s="169">
        <v>1.6</v>
      </c>
      <c r="J66" s="169">
        <v>1.3</v>
      </c>
      <c r="K66" s="124" t="s">
        <v>398</v>
      </c>
    </row>
    <row r="67" spans="8:11" x14ac:dyDescent="0.25">
      <c r="H67" s="168" t="s">
        <v>399</v>
      </c>
      <c r="I67" s="169">
        <v>2.5</v>
      </c>
      <c r="J67" s="169">
        <v>1.6</v>
      </c>
      <c r="K67" s="124" t="s">
        <v>400</v>
      </c>
    </row>
  </sheetData>
  <mergeCells count="17">
    <mergeCell ref="B50:E50"/>
    <mergeCell ref="B51:E51"/>
    <mergeCell ref="B53:E53"/>
    <mergeCell ref="B54:E54"/>
    <mergeCell ref="B39:E39"/>
    <mergeCell ref="B40:E40"/>
    <mergeCell ref="B44:E44"/>
    <mergeCell ref="B45:E45"/>
    <mergeCell ref="C5:F5"/>
    <mergeCell ref="C7:F7"/>
    <mergeCell ref="C9:F9"/>
    <mergeCell ref="C22:F22"/>
    <mergeCell ref="B27:E27"/>
    <mergeCell ref="D13:F13"/>
    <mergeCell ref="D14:F14"/>
    <mergeCell ref="D15:F15"/>
    <mergeCell ref="D16:F1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4:K50"/>
  <sheetViews>
    <sheetView showGridLines="0" topLeftCell="A13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6.85546875" style="3" customWidth="1"/>
    <col min="4" max="4" width="8.85546875" style="3" customWidth="1"/>
    <col min="5" max="6" width="12.85546875" style="3" customWidth="1"/>
    <col min="7" max="7" width="4.85546875" style="3" customWidth="1"/>
    <col min="8" max="8" width="15.85546875" style="3" customWidth="1"/>
    <col min="9" max="11" width="12.85546875" style="3" customWidth="1"/>
    <col min="12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172"/>
    </row>
    <row r="5" spans="1:5" x14ac:dyDescent="0.25">
      <c r="A5" s="172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172"/>
      <c r="B6" s="6"/>
      <c r="C6" s="7"/>
    </row>
    <row r="7" spans="1:5" x14ac:dyDescent="0.25">
      <c r="A7" s="172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172"/>
      <c r="B8" s="6"/>
      <c r="C8" s="7"/>
    </row>
    <row r="9" spans="1:5" x14ac:dyDescent="0.25">
      <c r="A9" s="172">
        <v>3</v>
      </c>
      <c r="B9" s="6" t="s">
        <v>66</v>
      </c>
      <c r="C9" s="221" t="s">
        <v>416</v>
      </c>
      <c r="D9" s="222"/>
      <c r="E9" s="223"/>
    </row>
    <row r="10" spans="1:5" ht="8.1" customHeight="1" x14ac:dyDescent="0.25"/>
    <row r="11" spans="1:5" x14ac:dyDescent="0.25">
      <c r="A11" s="172" t="s">
        <v>440</v>
      </c>
      <c r="B11" s="172"/>
      <c r="C11" s="172"/>
      <c r="D11" s="172"/>
      <c r="E11" s="172"/>
    </row>
    <row r="12" spans="1:5" ht="3.9" customHeight="1" x14ac:dyDescent="0.25">
      <c r="A12" s="173"/>
    </row>
    <row r="13" spans="1:5" x14ac:dyDescent="0.25">
      <c r="A13" s="172">
        <v>4</v>
      </c>
      <c r="B13" s="3" t="s">
        <v>292</v>
      </c>
      <c r="E13" s="131">
        <v>23000</v>
      </c>
    </row>
    <row r="14" spans="1:5" x14ac:dyDescent="0.25">
      <c r="A14" s="172">
        <v>5</v>
      </c>
      <c r="B14" s="3" t="s">
        <v>293</v>
      </c>
      <c r="E14" s="132">
        <v>2010</v>
      </c>
    </row>
    <row r="15" spans="1:5" x14ac:dyDescent="0.25">
      <c r="A15" s="172">
        <v>6</v>
      </c>
      <c r="B15" s="3" t="s">
        <v>294</v>
      </c>
      <c r="E15" s="131">
        <v>29000</v>
      </c>
    </row>
    <row r="16" spans="1:5" x14ac:dyDescent="0.25">
      <c r="A16" s="172">
        <v>7</v>
      </c>
      <c r="B16" s="3" t="s">
        <v>295</v>
      </c>
      <c r="E16" s="132">
        <v>2030</v>
      </c>
    </row>
    <row r="17" spans="1:5" s="150" customFormat="1" x14ac:dyDescent="0.2">
      <c r="A17" s="174">
        <v>8</v>
      </c>
      <c r="B17" s="230" t="s">
        <v>411</v>
      </c>
      <c r="C17" s="230"/>
      <c r="D17" s="230"/>
      <c r="E17" s="134">
        <f>(E15/E13)^(1/(E16-E14))-1</f>
        <v>1.165750592435133E-2</v>
      </c>
    </row>
    <row r="18" spans="1:5" s="150" customFormat="1" x14ac:dyDescent="0.2">
      <c r="A18" s="174">
        <v>9</v>
      </c>
      <c r="B18" s="230" t="s">
        <v>417</v>
      </c>
      <c r="C18" s="230"/>
      <c r="D18" s="230"/>
      <c r="E18" s="135">
        <f>E13*(1+E17)^(C7-E14)</f>
        <v>25234.569538981388</v>
      </c>
    </row>
    <row r="19" spans="1:5" ht="3.9" customHeight="1" x14ac:dyDescent="0.25">
      <c r="A19" s="172"/>
    </row>
    <row r="20" spans="1:5" x14ac:dyDescent="0.25">
      <c r="A20" s="172">
        <v>10</v>
      </c>
      <c r="B20" s="3" t="s">
        <v>422</v>
      </c>
      <c r="E20" s="131">
        <v>43694</v>
      </c>
    </row>
    <row r="21" spans="1:5" ht="8.1" customHeight="1" x14ac:dyDescent="0.25">
      <c r="E21" s="175"/>
    </row>
    <row r="22" spans="1:5" x14ac:dyDescent="0.25">
      <c r="A22" s="172" t="s">
        <v>420</v>
      </c>
      <c r="B22" s="172"/>
      <c r="C22" s="172"/>
      <c r="D22" s="172"/>
      <c r="E22" s="172"/>
    </row>
    <row r="23" spans="1:5" ht="3.9" customHeight="1" x14ac:dyDescent="0.25">
      <c r="A23" s="172"/>
    </row>
    <row r="24" spans="1:5" x14ac:dyDescent="0.25">
      <c r="A24" s="172">
        <v>11</v>
      </c>
      <c r="B24" s="4" t="s">
        <v>388</v>
      </c>
      <c r="C24" s="238" t="s">
        <v>49</v>
      </c>
      <c r="D24" s="239"/>
      <c r="E24" s="240"/>
    </row>
    <row r="25" spans="1:5" x14ac:dyDescent="0.25">
      <c r="A25" s="172">
        <v>12</v>
      </c>
      <c r="B25" s="3" t="s">
        <v>419</v>
      </c>
      <c r="E25" s="132">
        <v>40</v>
      </c>
    </row>
    <row r="26" spans="1:5" x14ac:dyDescent="0.25">
      <c r="A26" s="172">
        <v>13</v>
      </c>
      <c r="B26" s="3" t="s">
        <v>421</v>
      </c>
      <c r="E26" s="132">
        <v>230</v>
      </c>
    </row>
    <row r="27" spans="1:5" x14ac:dyDescent="0.25">
      <c r="A27" s="172">
        <v>14</v>
      </c>
      <c r="B27" s="3" t="s">
        <v>418</v>
      </c>
      <c r="E27" s="31">
        <f>E18/24*1/E25*E26/5280</f>
        <v>1.1450345237463935</v>
      </c>
    </row>
    <row r="28" spans="1:5" x14ac:dyDescent="0.25">
      <c r="A28" s="172">
        <v>15</v>
      </c>
      <c r="B28" s="3" t="s">
        <v>423</v>
      </c>
      <c r="E28" s="179">
        <f>E20*E27</f>
        <v>50031.138480574919</v>
      </c>
    </row>
    <row r="29" spans="1:5" ht="3.9" customHeight="1" x14ac:dyDescent="0.25">
      <c r="A29" s="172"/>
    </row>
    <row r="30" spans="1:5" x14ac:dyDescent="0.25">
      <c r="A30" s="172">
        <v>16</v>
      </c>
      <c r="B30" s="3" t="s">
        <v>425</v>
      </c>
      <c r="E30" s="132">
        <v>5</v>
      </c>
    </row>
    <row r="31" spans="1:5" x14ac:dyDescent="0.25">
      <c r="A31" s="172">
        <v>17</v>
      </c>
      <c r="B31" s="3" t="s">
        <v>424</v>
      </c>
      <c r="E31" s="159">
        <f>E30/E25</f>
        <v>0.125</v>
      </c>
    </row>
    <row r="33" spans="2:11" x14ac:dyDescent="0.25">
      <c r="B33" s="3" t="s">
        <v>513</v>
      </c>
    </row>
    <row r="37" spans="2:11" x14ac:dyDescent="0.25">
      <c r="G37" s="173"/>
    </row>
    <row r="38" spans="2:11" x14ac:dyDescent="0.25">
      <c r="G38" s="173"/>
      <c r="H38" s="4" t="s">
        <v>1</v>
      </c>
      <c r="I38" s="215" t="s">
        <v>0</v>
      </c>
      <c r="J38" s="216"/>
      <c r="K38" s="217"/>
    </row>
    <row r="39" spans="2:11" ht="3.9" customHeight="1" x14ac:dyDescent="0.25">
      <c r="G39" s="173"/>
      <c r="H39" s="6"/>
      <c r="I39" s="7"/>
    </row>
    <row r="40" spans="2:11" x14ac:dyDescent="0.25">
      <c r="G40" s="173"/>
      <c r="H40" s="6" t="s">
        <v>66</v>
      </c>
      <c r="I40" s="221" t="s">
        <v>416</v>
      </c>
      <c r="J40" s="222"/>
      <c r="K40" s="223"/>
    </row>
    <row r="41" spans="2:11" ht="8.1" customHeight="1" x14ac:dyDescent="0.25"/>
    <row r="42" spans="2:11" x14ac:dyDescent="0.25">
      <c r="G42" s="172" t="s">
        <v>434</v>
      </c>
      <c r="H42" s="172"/>
      <c r="I42" s="172"/>
      <c r="J42" s="172"/>
      <c r="K42" s="172"/>
    </row>
    <row r="43" spans="2:11" x14ac:dyDescent="0.25">
      <c r="G43" s="173"/>
      <c r="H43" s="66" t="s">
        <v>69</v>
      </c>
      <c r="I43" s="70" t="s">
        <v>437</v>
      </c>
      <c r="J43" s="181" t="s">
        <v>83</v>
      </c>
      <c r="K43" s="70" t="s">
        <v>80</v>
      </c>
    </row>
    <row r="44" spans="2:11" x14ac:dyDescent="0.25">
      <c r="G44" s="173"/>
      <c r="H44" s="9" t="s">
        <v>435</v>
      </c>
      <c r="I44" s="71" t="s">
        <v>79</v>
      </c>
      <c r="J44" s="182">
        <v>100</v>
      </c>
      <c r="K44" s="79" t="s">
        <v>81</v>
      </c>
    </row>
    <row r="45" spans="2:11" x14ac:dyDescent="0.25">
      <c r="G45" s="180"/>
      <c r="H45" s="9" t="s">
        <v>71</v>
      </c>
      <c r="I45" s="71" t="s">
        <v>78</v>
      </c>
      <c r="J45" s="182">
        <v>75</v>
      </c>
      <c r="K45" s="78" t="s">
        <v>81</v>
      </c>
    </row>
    <row r="46" spans="2:11" x14ac:dyDescent="0.25">
      <c r="G46" s="180"/>
      <c r="H46" s="9" t="s">
        <v>72</v>
      </c>
      <c r="I46" s="71" t="s">
        <v>77</v>
      </c>
      <c r="J46" s="182">
        <v>50</v>
      </c>
      <c r="K46" s="77" t="s">
        <v>81</v>
      </c>
    </row>
    <row r="47" spans="2:11" x14ac:dyDescent="0.25">
      <c r="G47" s="173"/>
      <c r="H47" s="9" t="s">
        <v>73</v>
      </c>
      <c r="I47" s="72" t="s">
        <v>76</v>
      </c>
      <c r="J47" s="182">
        <v>25</v>
      </c>
      <c r="K47" s="76" t="s">
        <v>81</v>
      </c>
    </row>
    <row r="48" spans="2:11" x14ac:dyDescent="0.25">
      <c r="G48" s="173"/>
      <c r="H48" s="9" t="s">
        <v>436</v>
      </c>
      <c r="I48" s="71" t="s">
        <v>75</v>
      </c>
      <c r="J48" s="182">
        <v>0</v>
      </c>
      <c r="K48" s="75" t="s">
        <v>81</v>
      </c>
    </row>
    <row r="49" spans="7:11" ht="3.9" customHeight="1" x14ac:dyDescent="0.25">
      <c r="G49" s="173"/>
    </row>
    <row r="50" spans="7:11" x14ac:dyDescent="0.25">
      <c r="G50" s="173"/>
      <c r="J50" s="5" t="s">
        <v>438</v>
      </c>
      <c r="K50" s="80"/>
    </row>
  </sheetData>
  <sortState ref="I43:K47">
    <sortCondition descending="1" ref="J43:J47"/>
  </sortState>
  <mergeCells count="8">
    <mergeCell ref="I38:K38"/>
    <mergeCell ref="I40:K40"/>
    <mergeCell ref="C24:E24"/>
    <mergeCell ref="C5:E5"/>
    <mergeCell ref="C7:E7"/>
    <mergeCell ref="C9:E9"/>
    <mergeCell ref="B17:D17"/>
    <mergeCell ref="B18:D1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4:E34"/>
  <sheetViews>
    <sheetView showGridLines="0" topLeftCell="A29" workbookViewId="0">
      <selection activeCell="B34" sqref="B34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6.85546875" style="3" customWidth="1"/>
    <col min="4" max="4" width="8.85546875" style="3" customWidth="1"/>
    <col min="5" max="7" width="12.85546875" style="3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172"/>
    </row>
    <row r="5" spans="1:5" x14ac:dyDescent="0.25">
      <c r="A5" s="172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172"/>
      <c r="B6" s="6"/>
      <c r="C6" s="7"/>
    </row>
    <row r="7" spans="1:5" x14ac:dyDescent="0.25">
      <c r="A7" s="172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172"/>
      <c r="B8" s="6"/>
      <c r="C8" s="7"/>
    </row>
    <row r="9" spans="1:5" x14ac:dyDescent="0.25">
      <c r="A9" s="172">
        <v>3</v>
      </c>
      <c r="B9" s="6" t="s">
        <v>66</v>
      </c>
      <c r="C9" s="221" t="s">
        <v>416</v>
      </c>
      <c r="D9" s="222"/>
      <c r="E9" s="223"/>
    </row>
    <row r="10" spans="1:5" ht="8.1" customHeight="1" x14ac:dyDescent="0.25"/>
    <row r="11" spans="1:5" x14ac:dyDescent="0.25">
      <c r="A11" s="172" t="s">
        <v>440</v>
      </c>
      <c r="B11" s="172"/>
      <c r="C11" s="172"/>
      <c r="D11" s="172"/>
      <c r="E11" s="172"/>
    </row>
    <row r="12" spans="1:5" ht="3.9" customHeight="1" x14ac:dyDescent="0.25">
      <c r="A12" s="173"/>
    </row>
    <row r="13" spans="1:5" x14ac:dyDescent="0.25">
      <c r="A13" s="172">
        <v>4</v>
      </c>
      <c r="B13" s="3" t="s">
        <v>292</v>
      </c>
      <c r="E13" s="131">
        <v>23000</v>
      </c>
    </row>
    <row r="14" spans="1:5" x14ac:dyDescent="0.25">
      <c r="A14" s="172">
        <v>5</v>
      </c>
      <c r="B14" s="3" t="s">
        <v>293</v>
      </c>
      <c r="E14" s="132">
        <v>2010</v>
      </c>
    </row>
    <row r="15" spans="1:5" x14ac:dyDescent="0.25">
      <c r="A15" s="172">
        <v>6</v>
      </c>
      <c r="B15" s="3" t="s">
        <v>294</v>
      </c>
      <c r="E15" s="131">
        <v>29000</v>
      </c>
    </row>
    <row r="16" spans="1:5" x14ac:dyDescent="0.25">
      <c r="A16" s="172">
        <v>7</v>
      </c>
      <c r="B16" s="3" t="s">
        <v>295</v>
      </c>
      <c r="E16" s="132">
        <v>2030</v>
      </c>
    </row>
    <row r="17" spans="1:5" s="150" customFormat="1" x14ac:dyDescent="0.2">
      <c r="A17" s="174">
        <v>8</v>
      </c>
      <c r="B17" s="230" t="s">
        <v>411</v>
      </c>
      <c r="C17" s="230"/>
      <c r="D17" s="230"/>
      <c r="E17" s="134">
        <f>(E15/E13)^(1/(E16-E14))-1</f>
        <v>1.165750592435133E-2</v>
      </c>
    </row>
    <row r="18" spans="1:5" s="150" customFormat="1" x14ac:dyDescent="0.2">
      <c r="A18" s="174">
        <v>9</v>
      </c>
      <c r="B18" s="230" t="s">
        <v>417</v>
      </c>
      <c r="C18" s="230"/>
      <c r="D18" s="230"/>
      <c r="E18" s="135">
        <f>E13*(1+E17)^(C7-E14)</f>
        <v>25234.569538981388</v>
      </c>
    </row>
    <row r="19" spans="1:5" ht="8.1" customHeight="1" x14ac:dyDescent="0.25"/>
    <row r="20" spans="1:5" x14ac:dyDescent="0.25">
      <c r="A20" s="172" t="s">
        <v>441</v>
      </c>
      <c r="B20" s="172"/>
      <c r="C20" s="172"/>
      <c r="D20" s="172"/>
      <c r="E20" s="172"/>
    </row>
    <row r="21" spans="1:5" ht="3.9" customHeight="1" x14ac:dyDescent="0.25">
      <c r="A21" s="172"/>
    </row>
    <row r="22" spans="1:5" x14ac:dyDescent="0.25">
      <c r="A22" s="172">
        <v>10</v>
      </c>
      <c r="B22" s="4" t="s">
        <v>388</v>
      </c>
      <c r="C22" s="238" t="s">
        <v>49</v>
      </c>
      <c r="D22" s="239"/>
      <c r="E22" s="240"/>
    </row>
    <row r="23" spans="1:5" x14ac:dyDescent="0.25">
      <c r="A23" s="172">
        <v>11</v>
      </c>
      <c r="B23" s="3" t="s">
        <v>426</v>
      </c>
      <c r="E23" s="176">
        <v>5</v>
      </c>
    </row>
    <row r="24" spans="1:5" x14ac:dyDescent="0.25">
      <c r="A24" s="172">
        <v>12</v>
      </c>
      <c r="B24" s="3" t="s">
        <v>432</v>
      </c>
      <c r="E24" s="176">
        <v>2.2000000000000002</v>
      </c>
    </row>
    <row r="25" spans="1:5" x14ac:dyDescent="0.25">
      <c r="A25" s="172">
        <v>13</v>
      </c>
      <c r="B25" s="3" t="s">
        <v>427</v>
      </c>
      <c r="E25" s="178">
        <v>0.20799999999999999</v>
      </c>
    </row>
    <row r="26" spans="1:5" x14ac:dyDescent="0.25">
      <c r="A26" s="172">
        <v>14</v>
      </c>
      <c r="B26" s="3" t="s">
        <v>428</v>
      </c>
      <c r="E26" s="132">
        <v>45</v>
      </c>
    </row>
    <row r="27" spans="1:5" x14ac:dyDescent="0.25">
      <c r="A27" s="172">
        <v>15</v>
      </c>
      <c r="B27" s="3" t="s">
        <v>429</v>
      </c>
      <c r="E27" s="177">
        <v>30.62</v>
      </c>
    </row>
    <row r="28" spans="1:5" x14ac:dyDescent="0.25">
      <c r="A28" s="172">
        <v>16</v>
      </c>
      <c r="B28" s="3" t="s">
        <v>430</v>
      </c>
      <c r="E28" s="177">
        <v>1.3</v>
      </c>
    </row>
    <row r="29" spans="1:5" x14ac:dyDescent="0.25">
      <c r="A29" s="172">
        <v>17</v>
      </c>
      <c r="B29" s="3" t="s">
        <v>431</v>
      </c>
      <c r="E29" s="179">
        <f>E18*E23/24*(E24*E25+E24/E26*E27*E28)</f>
        <v>12636.584542119583</v>
      </c>
    </row>
    <row r="30" spans="1:5" ht="3.9" customHeight="1" x14ac:dyDescent="0.25">
      <c r="A30" s="172"/>
    </row>
    <row r="31" spans="1:5" x14ac:dyDescent="0.25">
      <c r="A31" s="172">
        <v>18</v>
      </c>
      <c r="B31" s="3" t="s">
        <v>433</v>
      </c>
      <c r="E31" s="132">
        <f>24*30</f>
        <v>720</v>
      </c>
    </row>
    <row r="32" spans="1:5" x14ac:dyDescent="0.25">
      <c r="A32" s="172">
        <v>19</v>
      </c>
      <c r="B32" s="3" t="s">
        <v>424</v>
      </c>
      <c r="E32" s="159">
        <f>E23/E31</f>
        <v>6.9444444444444441E-3</v>
      </c>
    </row>
    <row r="34" spans="2:2" x14ac:dyDescent="0.25">
      <c r="B34" s="3" t="s">
        <v>513</v>
      </c>
    </row>
  </sheetData>
  <mergeCells count="6">
    <mergeCell ref="C22:E22"/>
    <mergeCell ref="C5:E5"/>
    <mergeCell ref="C7:E7"/>
    <mergeCell ref="C9:E9"/>
    <mergeCell ref="B17:D17"/>
    <mergeCell ref="B18:D1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4:H32"/>
  <sheetViews>
    <sheetView showGridLines="0" topLeftCell="A27" workbookViewId="0">
      <selection activeCell="B32" sqref="B32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3" width="16.85546875" style="3" customWidth="1"/>
    <col min="4" max="4" width="8.85546875" style="3" customWidth="1"/>
    <col min="5" max="7" width="12.85546875" style="3" customWidth="1"/>
    <col min="8" max="18" width="7.85546875" style="3" customWidth="1"/>
    <col min="19" max="20" width="9.28515625" style="3"/>
    <col min="21" max="21" width="22.7109375" style="3" bestFit="1" customWidth="1"/>
    <col min="22" max="25" width="14.85546875" style="3" customWidth="1"/>
    <col min="26" max="16384" width="9.28515625" style="3"/>
  </cols>
  <sheetData>
    <row r="4" spans="1:5" x14ac:dyDescent="0.25">
      <c r="A4" s="172"/>
    </row>
    <row r="5" spans="1:5" x14ac:dyDescent="0.25">
      <c r="A5" s="172">
        <v>1</v>
      </c>
      <c r="B5" s="4" t="s">
        <v>1</v>
      </c>
      <c r="C5" s="215" t="s">
        <v>0</v>
      </c>
      <c r="D5" s="216"/>
      <c r="E5" s="217"/>
    </row>
    <row r="6" spans="1:5" ht="3.9" customHeight="1" x14ac:dyDescent="0.25">
      <c r="A6" s="172"/>
      <c r="B6" s="6"/>
      <c r="C6" s="7"/>
    </row>
    <row r="7" spans="1:5" x14ac:dyDescent="0.25">
      <c r="A7" s="172">
        <v>2</v>
      </c>
      <c r="B7" s="4" t="s">
        <v>299</v>
      </c>
      <c r="C7" s="215" t="s">
        <v>291</v>
      </c>
      <c r="D7" s="216"/>
      <c r="E7" s="217"/>
    </row>
    <row r="8" spans="1:5" ht="3.9" customHeight="1" x14ac:dyDescent="0.25">
      <c r="A8" s="172"/>
      <c r="B8" s="6"/>
      <c r="C8" s="7"/>
    </row>
    <row r="9" spans="1:5" x14ac:dyDescent="0.25">
      <c r="A9" s="172">
        <v>3</v>
      </c>
      <c r="B9" s="6" t="s">
        <v>66</v>
      </c>
      <c r="C9" s="221" t="s">
        <v>416</v>
      </c>
      <c r="D9" s="222"/>
      <c r="E9" s="223"/>
    </row>
    <row r="10" spans="1:5" ht="8.1" customHeight="1" x14ac:dyDescent="0.25"/>
    <row r="11" spans="1:5" x14ac:dyDescent="0.25">
      <c r="A11" s="172" t="s">
        <v>440</v>
      </c>
      <c r="B11" s="172"/>
      <c r="C11" s="172"/>
      <c r="D11" s="172"/>
      <c r="E11" s="172"/>
    </row>
    <row r="12" spans="1:5" ht="3.9" customHeight="1" x14ac:dyDescent="0.25">
      <c r="A12" s="173"/>
    </row>
    <row r="13" spans="1:5" x14ac:dyDescent="0.25">
      <c r="A13" s="172">
        <v>4</v>
      </c>
      <c r="B13" s="3" t="s">
        <v>292</v>
      </c>
      <c r="E13" s="131">
        <v>23000</v>
      </c>
    </row>
    <row r="14" spans="1:5" x14ac:dyDescent="0.25">
      <c r="A14" s="172">
        <v>5</v>
      </c>
      <c r="B14" s="3" t="s">
        <v>293</v>
      </c>
      <c r="E14" s="132">
        <v>2010</v>
      </c>
    </row>
    <row r="15" spans="1:5" x14ac:dyDescent="0.25">
      <c r="A15" s="172">
        <v>6</v>
      </c>
      <c r="B15" s="3" t="s">
        <v>294</v>
      </c>
      <c r="E15" s="131">
        <v>29000</v>
      </c>
    </row>
    <row r="16" spans="1:5" x14ac:dyDescent="0.25">
      <c r="A16" s="172">
        <v>7</v>
      </c>
      <c r="B16" s="3" t="s">
        <v>295</v>
      </c>
      <c r="E16" s="132">
        <v>2030</v>
      </c>
    </row>
    <row r="17" spans="1:8" s="156" customFormat="1" x14ac:dyDescent="0.2">
      <c r="A17" s="174">
        <v>8</v>
      </c>
      <c r="B17" s="230" t="s">
        <v>411</v>
      </c>
      <c r="C17" s="230"/>
      <c r="D17" s="230"/>
      <c r="E17" s="134">
        <f>(E15/E13)^(1/(E16-E14))-1</f>
        <v>1.165750592435133E-2</v>
      </c>
    </row>
    <row r="18" spans="1:8" s="156" customFormat="1" x14ac:dyDescent="0.2">
      <c r="A18" s="174">
        <v>9</v>
      </c>
      <c r="B18" s="230" t="s">
        <v>417</v>
      </c>
      <c r="C18" s="230"/>
      <c r="D18" s="230"/>
      <c r="E18" s="135">
        <f>E13*(1+E17)^(C7-E14)</f>
        <v>25234.569538981388</v>
      </c>
    </row>
    <row r="19" spans="1:8" ht="8.1" customHeight="1" x14ac:dyDescent="0.25"/>
    <row r="20" spans="1:8" x14ac:dyDescent="0.25">
      <c r="A20" s="172" t="s">
        <v>442</v>
      </c>
      <c r="B20" s="172"/>
      <c r="C20" s="172"/>
      <c r="D20" s="172"/>
      <c r="E20" s="172"/>
    </row>
    <row r="21" spans="1:8" ht="3.9" customHeight="1" x14ac:dyDescent="0.25">
      <c r="A21" s="172"/>
    </row>
    <row r="22" spans="1:8" x14ac:dyDescent="0.25">
      <c r="A22" s="172">
        <v>10</v>
      </c>
      <c r="B22" s="4" t="s">
        <v>388</v>
      </c>
      <c r="C22" s="238" t="s">
        <v>49</v>
      </c>
      <c r="D22" s="239"/>
      <c r="E22" s="240"/>
      <c r="F22" s="183"/>
      <c r="H22" s="166"/>
    </row>
    <row r="23" spans="1:8" x14ac:dyDescent="0.25">
      <c r="A23" s="172">
        <v>11</v>
      </c>
      <c r="B23" s="3" t="s">
        <v>428</v>
      </c>
      <c r="E23" s="132">
        <v>40</v>
      </c>
      <c r="F23" s="162"/>
      <c r="H23" s="166"/>
    </row>
    <row r="24" spans="1:8" x14ac:dyDescent="0.25">
      <c r="A24" s="172">
        <v>12</v>
      </c>
      <c r="B24" s="3" t="s">
        <v>426</v>
      </c>
      <c r="E24" s="176">
        <v>720</v>
      </c>
    </row>
    <row r="25" spans="1:8" x14ac:dyDescent="0.25">
      <c r="A25" s="172">
        <v>13</v>
      </c>
      <c r="B25" s="3" t="s">
        <v>432</v>
      </c>
      <c r="E25" s="176">
        <v>2.2000000000000002</v>
      </c>
    </row>
    <row r="26" spans="1:8" x14ac:dyDescent="0.25">
      <c r="A26" s="172">
        <v>14</v>
      </c>
      <c r="B26" s="3" t="s">
        <v>439</v>
      </c>
      <c r="E26" s="184">
        <v>1.9599999999999999E-2</v>
      </c>
    </row>
    <row r="27" spans="1:8" x14ac:dyDescent="0.25">
      <c r="A27" s="172">
        <v>15</v>
      </c>
      <c r="B27" s="3" t="s">
        <v>431</v>
      </c>
      <c r="E27" s="179">
        <f>E18*E24/24*E25*E26</f>
        <v>32643.439155626329</v>
      </c>
    </row>
    <row r="28" spans="1:8" ht="3.9" customHeight="1" x14ac:dyDescent="0.25">
      <c r="A28" s="172"/>
    </row>
    <row r="29" spans="1:8" x14ac:dyDescent="0.25">
      <c r="A29" s="172">
        <v>16</v>
      </c>
      <c r="B29" s="3" t="s">
        <v>433</v>
      </c>
      <c r="E29" s="132">
        <f>24*30</f>
        <v>720</v>
      </c>
    </row>
    <row r="30" spans="1:8" x14ac:dyDescent="0.25">
      <c r="A30" s="172">
        <v>17</v>
      </c>
      <c r="B30" s="3" t="s">
        <v>424</v>
      </c>
      <c r="E30" s="159">
        <f>E24/E29</f>
        <v>1</v>
      </c>
    </row>
    <row r="32" spans="1:8" x14ac:dyDescent="0.25">
      <c r="B32" s="3" t="s">
        <v>513</v>
      </c>
    </row>
  </sheetData>
  <mergeCells count="6">
    <mergeCell ref="C22:E22"/>
    <mergeCell ref="C5:E5"/>
    <mergeCell ref="C7:E7"/>
    <mergeCell ref="C9:E9"/>
    <mergeCell ref="B17:D17"/>
    <mergeCell ref="B18:D1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opLeftCell="A25" zoomScale="85" zoomScaleNormal="85" workbookViewId="0">
      <selection activeCell="B36" sqref="B36"/>
    </sheetView>
  </sheetViews>
  <sheetFormatPr defaultRowHeight="10.199999999999999" x14ac:dyDescent="0.2"/>
  <cols>
    <col min="2" max="2" width="18.28515625" customWidth="1"/>
    <col min="3" max="3" width="12.42578125" customWidth="1"/>
    <col min="4" max="4" width="13.7109375" customWidth="1"/>
    <col min="5" max="5" width="13.42578125" customWidth="1"/>
    <col min="6" max="6" width="1.140625" customWidth="1"/>
  </cols>
  <sheetData>
    <row r="1" spans="1:6" ht="12.6" x14ac:dyDescent="0.25">
      <c r="A1" s="3"/>
      <c r="B1" s="3"/>
      <c r="C1" s="3"/>
      <c r="D1" s="3"/>
      <c r="E1" s="3"/>
      <c r="F1" s="3"/>
    </row>
    <row r="2" spans="1:6" ht="12.6" x14ac:dyDescent="0.25">
      <c r="A2" s="3"/>
      <c r="B2" s="3"/>
      <c r="C2" s="3"/>
      <c r="D2" s="3"/>
      <c r="E2" s="3"/>
      <c r="F2" s="3"/>
    </row>
    <row r="3" spans="1:6" ht="12.6" x14ac:dyDescent="0.25">
      <c r="A3" s="3"/>
      <c r="B3" s="3"/>
      <c r="C3" s="3"/>
      <c r="D3" s="3"/>
      <c r="E3" s="3"/>
      <c r="F3" s="3"/>
    </row>
    <row r="4" spans="1:6" ht="12.6" x14ac:dyDescent="0.25">
      <c r="A4" s="67"/>
      <c r="B4" s="3"/>
      <c r="C4" s="3"/>
      <c r="D4" s="3"/>
      <c r="E4" s="3"/>
      <c r="F4" s="3"/>
    </row>
    <row r="5" spans="1:6" ht="12.6" x14ac:dyDescent="0.25">
      <c r="A5" s="67"/>
      <c r="B5" s="4" t="s">
        <v>66</v>
      </c>
      <c r="C5" s="215" t="s">
        <v>474</v>
      </c>
      <c r="D5" s="216"/>
      <c r="E5" s="217"/>
      <c r="F5" s="3"/>
    </row>
    <row r="6" spans="1:6" ht="12.6" x14ac:dyDescent="0.25">
      <c r="A6" s="67"/>
      <c r="B6" s="6"/>
      <c r="C6" s="7"/>
      <c r="D6" s="3"/>
      <c r="E6" s="3"/>
      <c r="F6" s="3"/>
    </row>
    <row r="7" spans="1:6" ht="12.6" x14ac:dyDescent="0.25">
      <c r="A7" s="67"/>
      <c r="B7" s="6" t="s">
        <v>92</v>
      </c>
      <c r="C7" s="221" t="s">
        <v>481</v>
      </c>
      <c r="D7" s="222"/>
      <c r="E7" s="223"/>
      <c r="F7" s="3"/>
    </row>
    <row r="8" spans="1:6" ht="12.6" x14ac:dyDescent="0.25">
      <c r="A8" s="67"/>
      <c r="B8" s="6"/>
      <c r="C8" s="3"/>
      <c r="D8" s="3"/>
      <c r="E8" s="3"/>
      <c r="F8" s="3"/>
    </row>
    <row r="9" spans="1:6" ht="12.6" x14ac:dyDescent="0.25">
      <c r="A9" s="67"/>
      <c r="B9" s="6" t="s">
        <v>85</v>
      </c>
      <c r="C9" s="221" t="s">
        <v>104</v>
      </c>
      <c r="D9" s="222"/>
      <c r="E9" s="223"/>
      <c r="F9" s="3"/>
    </row>
    <row r="10" spans="1:6" ht="12.6" x14ac:dyDescent="0.25">
      <c r="A10" s="3"/>
      <c r="B10" s="3"/>
      <c r="C10" s="3"/>
      <c r="D10" s="3"/>
      <c r="E10" s="3"/>
      <c r="F10" s="3"/>
    </row>
    <row r="11" spans="1:6" ht="12.6" x14ac:dyDescent="0.25">
      <c r="A11" s="68" t="s">
        <v>86</v>
      </c>
      <c r="B11" s="68"/>
      <c r="C11" s="68"/>
      <c r="D11" s="68"/>
      <c r="E11" s="68"/>
      <c r="F11" s="3"/>
    </row>
    <row r="12" spans="1:6" ht="41.25" customHeight="1" x14ac:dyDescent="0.25">
      <c r="A12" s="68"/>
      <c r="B12" s="227" t="s">
        <v>482</v>
      </c>
      <c r="C12" s="227"/>
      <c r="D12" s="227"/>
      <c r="E12" s="227"/>
      <c r="F12" s="3"/>
    </row>
    <row r="13" spans="1:6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198" t="s">
        <v>88</v>
      </c>
      <c r="F13" s="3"/>
    </row>
    <row r="14" spans="1:6" ht="12.6" x14ac:dyDescent="0.25">
      <c r="A14" s="68">
        <v>1</v>
      </c>
      <c r="B14" s="90"/>
      <c r="C14" s="71"/>
      <c r="D14" s="94"/>
      <c r="E14" s="3"/>
      <c r="F14" s="3"/>
    </row>
    <row r="15" spans="1:6" ht="12.6" x14ac:dyDescent="0.25">
      <c r="A15" s="68">
        <v>2</v>
      </c>
      <c r="B15" s="91"/>
      <c r="C15" s="71"/>
      <c r="D15" s="94"/>
      <c r="E15" s="3"/>
      <c r="F15" s="3"/>
    </row>
    <row r="16" spans="1:6" ht="12.6" x14ac:dyDescent="0.25">
      <c r="A16" s="68">
        <v>3</v>
      </c>
      <c r="B16" s="91"/>
      <c r="C16" s="71"/>
      <c r="D16" s="94"/>
      <c r="E16" s="3"/>
      <c r="F16" s="3"/>
    </row>
    <row r="17" spans="1:6" ht="12.6" x14ac:dyDescent="0.25">
      <c r="A17" s="68">
        <v>4</v>
      </c>
      <c r="B17" s="91"/>
      <c r="C17" s="71"/>
      <c r="D17" s="94"/>
      <c r="E17" s="3"/>
      <c r="F17" s="3"/>
    </row>
    <row r="18" spans="1:6" ht="12.6" x14ac:dyDescent="0.25">
      <c r="A18" s="68">
        <v>5</v>
      </c>
      <c r="B18" s="91"/>
      <c r="C18" s="71"/>
      <c r="D18" s="94"/>
      <c r="E18" s="3"/>
      <c r="F18" s="3"/>
    </row>
    <row r="19" spans="1:6" ht="12.6" x14ac:dyDescent="0.25">
      <c r="A19" s="68">
        <v>6</v>
      </c>
      <c r="B19" s="92"/>
      <c r="C19" s="3"/>
      <c r="D19" s="94"/>
      <c r="E19" s="3"/>
      <c r="F19" s="3"/>
    </row>
    <row r="20" spans="1:6" ht="12.6" x14ac:dyDescent="0.25">
      <c r="A20" s="68">
        <v>7</v>
      </c>
      <c r="B20" s="92"/>
      <c r="C20" s="3"/>
      <c r="D20" s="94"/>
      <c r="E20" s="3"/>
      <c r="F20" s="3"/>
    </row>
    <row r="21" spans="1:6" ht="12.6" x14ac:dyDescent="0.25">
      <c r="A21" s="68">
        <v>8</v>
      </c>
      <c r="B21" s="92"/>
      <c r="C21" s="3"/>
      <c r="D21" s="94"/>
      <c r="E21" s="3"/>
      <c r="F21" s="3"/>
    </row>
    <row r="22" spans="1:6" ht="12.6" x14ac:dyDescent="0.25">
      <c r="A22" s="68">
        <v>9</v>
      </c>
      <c r="B22" s="92"/>
      <c r="C22" s="3"/>
      <c r="D22" s="94"/>
      <c r="E22" s="3"/>
      <c r="F22" s="3"/>
    </row>
    <row r="23" spans="1:6" ht="12.6" x14ac:dyDescent="0.25">
      <c r="A23" s="68">
        <v>10</v>
      </c>
      <c r="B23" s="92"/>
      <c r="C23" s="3"/>
      <c r="D23" s="94"/>
      <c r="E23" s="3"/>
      <c r="F23" s="3"/>
    </row>
    <row r="24" spans="1:6" ht="12.6" x14ac:dyDescent="0.25">
      <c r="A24" s="3"/>
      <c r="B24" s="3"/>
      <c r="C24" s="3"/>
      <c r="D24" s="3"/>
      <c r="E24" s="3"/>
      <c r="F24" s="3"/>
    </row>
    <row r="25" spans="1:6" ht="12.6" x14ac:dyDescent="0.25">
      <c r="A25" s="185" t="s">
        <v>89</v>
      </c>
      <c r="B25" s="68"/>
      <c r="C25" s="68"/>
      <c r="D25" s="68"/>
      <c r="E25" s="68"/>
      <c r="F25" s="3"/>
    </row>
    <row r="26" spans="1:6" ht="12.6" x14ac:dyDescent="0.2">
      <c r="A26" s="186"/>
      <c r="B26" s="228" t="s">
        <v>478</v>
      </c>
      <c r="C26" s="228"/>
      <c r="D26" s="229"/>
      <c r="E26" s="81"/>
      <c r="F26" s="198"/>
    </row>
    <row r="27" spans="1:6" ht="12.6" x14ac:dyDescent="0.2">
      <c r="A27" s="186">
        <v>11</v>
      </c>
      <c r="B27" s="231" t="s">
        <v>475</v>
      </c>
      <c r="C27" s="231"/>
      <c r="D27" s="232"/>
      <c r="E27" s="81">
        <v>2671</v>
      </c>
      <c r="F27" s="198"/>
    </row>
    <row r="28" spans="1:6" ht="12.6" x14ac:dyDescent="0.2">
      <c r="A28" s="186">
        <f t="shared" ref="A28:A34" si="0">+A27+1</f>
        <v>12</v>
      </c>
      <c r="B28" s="231" t="s">
        <v>476</v>
      </c>
      <c r="C28" s="231"/>
      <c r="D28" s="232"/>
      <c r="E28" s="81">
        <v>1651</v>
      </c>
      <c r="F28" s="198"/>
    </row>
    <row r="29" spans="1:6" ht="12.75" customHeight="1" x14ac:dyDescent="0.25">
      <c r="A29" s="186">
        <f t="shared" si="0"/>
        <v>13</v>
      </c>
      <c r="B29" s="231" t="s">
        <v>477</v>
      </c>
      <c r="C29" s="231"/>
      <c r="D29" s="232"/>
      <c r="E29" s="81">
        <v>399</v>
      </c>
      <c r="F29" s="3"/>
    </row>
    <row r="30" spans="1:6" ht="12.6" x14ac:dyDescent="0.2">
      <c r="A30" s="186">
        <f t="shared" si="0"/>
        <v>14</v>
      </c>
      <c r="B30" s="231" t="s">
        <v>480</v>
      </c>
      <c r="C30" s="231"/>
      <c r="D30" s="232"/>
      <c r="E30" s="85">
        <v>621</v>
      </c>
      <c r="F30" s="198"/>
    </row>
    <row r="31" spans="1:6" ht="12.6" x14ac:dyDescent="0.25">
      <c r="A31" s="186">
        <f t="shared" si="0"/>
        <v>15</v>
      </c>
      <c r="B31" s="230" t="s">
        <v>483</v>
      </c>
      <c r="C31" s="230"/>
      <c r="D31" s="233"/>
      <c r="E31" s="88">
        <f>+E29+E30</f>
        <v>1020</v>
      </c>
      <c r="F31" s="3"/>
    </row>
    <row r="32" spans="1:6" ht="12.6" x14ac:dyDescent="0.25">
      <c r="A32" s="186">
        <f t="shared" si="0"/>
        <v>16</v>
      </c>
      <c r="B32" s="230" t="s">
        <v>479</v>
      </c>
      <c r="C32" s="250"/>
      <c r="D32" s="250"/>
      <c r="E32" s="199">
        <v>1</v>
      </c>
      <c r="F32" s="3"/>
    </row>
    <row r="33" spans="1:6" ht="12.6" x14ac:dyDescent="0.25">
      <c r="A33" s="186">
        <f t="shared" si="0"/>
        <v>17</v>
      </c>
      <c r="B33" s="234" t="s">
        <v>484</v>
      </c>
      <c r="C33" s="234"/>
      <c r="D33" s="234"/>
      <c r="E33" s="201">
        <f>+E32/300</f>
        <v>3.3333333333333335E-3</v>
      </c>
      <c r="F33" s="3"/>
    </row>
    <row r="34" spans="1:6" ht="12.6" x14ac:dyDescent="0.25">
      <c r="A34" s="186">
        <f t="shared" si="0"/>
        <v>18</v>
      </c>
      <c r="B34" s="230" t="s">
        <v>107</v>
      </c>
      <c r="C34" s="230"/>
      <c r="D34" s="230"/>
      <c r="E34" s="200">
        <v>0.12720000000000001</v>
      </c>
      <c r="F34" s="3"/>
    </row>
    <row r="35" spans="1:6" ht="12.6" x14ac:dyDescent="0.25">
      <c r="A35" s="3"/>
      <c r="B35" s="3"/>
      <c r="C35" s="3"/>
      <c r="D35" s="3"/>
      <c r="E35" s="3"/>
      <c r="F35" s="3"/>
    </row>
    <row r="36" spans="1:6" ht="12.6" x14ac:dyDescent="0.25">
      <c r="B36" s="3" t="s">
        <v>511</v>
      </c>
    </row>
  </sheetData>
  <mergeCells count="13">
    <mergeCell ref="B30:D30"/>
    <mergeCell ref="B31:D31"/>
    <mergeCell ref="B33:D33"/>
    <mergeCell ref="B34:D34"/>
    <mergeCell ref="B27:D27"/>
    <mergeCell ref="B28:D28"/>
    <mergeCell ref="B32:D32"/>
    <mergeCell ref="B29:D29"/>
    <mergeCell ref="C5:E5"/>
    <mergeCell ref="C7:E7"/>
    <mergeCell ref="C9:E9"/>
    <mergeCell ref="B12:E12"/>
    <mergeCell ref="B26:D26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E19"/>
  <sheetViews>
    <sheetView showGridLines="0" workbookViewId="0">
      <selection activeCell="B19" sqref="B19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1</v>
      </c>
      <c r="C5" s="215" t="s">
        <v>0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66</v>
      </c>
      <c r="C7" s="221" t="s">
        <v>30</v>
      </c>
      <c r="D7" s="222"/>
      <c r="E7" s="223"/>
    </row>
    <row r="8" spans="1:5" ht="8.1" customHeight="1" x14ac:dyDescent="0.25"/>
    <row r="9" spans="1:5" x14ac:dyDescent="0.25">
      <c r="A9" s="68" t="s">
        <v>67</v>
      </c>
      <c r="B9" s="68"/>
      <c r="C9" s="68"/>
      <c r="D9" s="68"/>
      <c r="E9" s="68"/>
    </row>
    <row r="10" spans="1:5" x14ac:dyDescent="0.25">
      <c r="A10" s="67"/>
      <c r="B10" s="66" t="s">
        <v>69</v>
      </c>
      <c r="C10" s="70" t="s">
        <v>70</v>
      </c>
      <c r="D10" s="73" t="s">
        <v>83</v>
      </c>
      <c r="E10" s="70" t="s">
        <v>80</v>
      </c>
    </row>
    <row r="11" spans="1:5" x14ac:dyDescent="0.25">
      <c r="A11" s="67"/>
      <c r="B11" s="9" t="s">
        <v>68</v>
      </c>
      <c r="C11" s="71" t="s">
        <v>75</v>
      </c>
      <c r="D11" s="74">
        <v>0</v>
      </c>
      <c r="E11" s="75" t="s">
        <v>81</v>
      </c>
    </row>
    <row r="12" spans="1:5" x14ac:dyDescent="0.25">
      <c r="A12" s="69"/>
      <c r="B12" s="9" t="s">
        <v>71</v>
      </c>
      <c r="C12" s="72" t="s">
        <v>76</v>
      </c>
      <c r="D12" s="74">
        <v>25</v>
      </c>
      <c r="E12" s="76" t="s">
        <v>81</v>
      </c>
    </row>
    <row r="13" spans="1:5" x14ac:dyDescent="0.25">
      <c r="A13" s="69"/>
      <c r="B13" s="9" t="s">
        <v>72</v>
      </c>
      <c r="C13" s="71" t="s">
        <v>77</v>
      </c>
      <c r="D13" s="74">
        <v>50</v>
      </c>
      <c r="E13" s="77" t="s">
        <v>81</v>
      </c>
    </row>
    <row r="14" spans="1:5" x14ac:dyDescent="0.25">
      <c r="A14" s="67"/>
      <c r="B14" s="9" t="s">
        <v>73</v>
      </c>
      <c r="C14" s="71" t="s">
        <v>78</v>
      </c>
      <c r="D14" s="74">
        <v>75</v>
      </c>
      <c r="E14" s="78" t="s">
        <v>81</v>
      </c>
    </row>
    <row r="15" spans="1:5" x14ac:dyDescent="0.25">
      <c r="A15" s="67"/>
      <c r="B15" s="9" t="s">
        <v>74</v>
      </c>
      <c r="C15" s="71" t="s">
        <v>79</v>
      </c>
      <c r="D15" s="74">
        <v>100</v>
      </c>
      <c r="E15" s="79" t="s">
        <v>81</v>
      </c>
    </row>
    <row r="16" spans="1:5" ht="3.9" customHeight="1" x14ac:dyDescent="0.25">
      <c r="A16" s="67"/>
    </row>
    <row r="17" spans="1:5" x14ac:dyDescent="0.25">
      <c r="A17" s="67"/>
      <c r="D17" s="5" t="s">
        <v>82</v>
      </c>
      <c r="E17" s="80"/>
    </row>
    <row r="19" spans="1:5" x14ac:dyDescent="0.25">
      <c r="B19" s="3" t="s">
        <v>509</v>
      </c>
    </row>
  </sheetData>
  <mergeCells count="2">
    <mergeCell ref="C5:E5"/>
    <mergeCell ref="C7:E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4:E34"/>
  <sheetViews>
    <sheetView showGridLines="0" topLeftCell="A22" workbookViewId="0">
      <selection activeCell="B34" sqref="B34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84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103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ht="3.9" customHeight="1" x14ac:dyDescent="0.25">
      <c r="A26" s="185"/>
    </row>
    <row r="27" spans="1:5" s="48" customFormat="1" ht="30" customHeight="1" x14ac:dyDescent="0.2">
      <c r="A27" s="186">
        <v>11</v>
      </c>
      <c r="B27" s="228" t="s">
        <v>91</v>
      </c>
      <c r="C27" s="228"/>
      <c r="D27" s="229"/>
      <c r="E27" s="81">
        <v>10</v>
      </c>
    </row>
    <row r="28" spans="1:5" ht="30" customHeight="1" x14ac:dyDescent="0.25">
      <c r="A28" s="186">
        <v>12</v>
      </c>
      <c r="B28" s="230" t="s">
        <v>101</v>
      </c>
      <c r="C28" s="230"/>
      <c r="D28" s="230"/>
      <c r="E28" s="81">
        <v>5</v>
      </c>
    </row>
    <row r="29" spans="1:5" s="48" customFormat="1" ht="30" customHeight="1" x14ac:dyDescent="0.2">
      <c r="A29" s="186">
        <v>13</v>
      </c>
      <c r="B29" s="231" t="s">
        <v>102</v>
      </c>
      <c r="C29" s="231"/>
      <c r="D29" s="232"/>
      <c r="E29" s="85">
        <v>10</v>
      </c>
    </row>
    <row r="30" spans="1:5" ht="30" customHeight="1" x14ac:dyDescent="0.25">
      <c r="A30" s="186">
        <v>14</v>
      </c>
      <c r="B30" s="230" t="s">
        <v>105</v>
      </c>
      <c r="C30" s="230"/>
      <c r="D30" s="233"/>
      <c r="E30" s="88">
        <v>1120</v>
      </c>
    </row>
    <row r="31" spans="1:5" ht="30" customHeight="1" x14ac:dyDescent="0.25">
      <c r="A31" s="186">
        <v>15</v>
      </c>
      <c r="B31" s="234" t="s">
        <v>106</v>
      </c>
      <c r="C31" s="234"/>
      <c r="D31" s="234"/>
      <c r="E31" s="87">
        <v>5.4000000000000003E-3</v>
      </c>
    </row>
    <row r="32" spans="1:5" ht="30" customHeight="1" x14ac:dyDescent="0.25">
      <c r="A32" s="186">
        <v>16</v>
      </c>
      <c r="B32" s="230" t="s">
        <v>107</v>
      </c>
      <c r="C32" s="230"/>
      <c r="D32" s="230"/>
      <c r="E32" s="86">
        <f>E29/E30/E27/E31</f>
        <v>0.16534391534391532</v>
      </c>
    </row>
    <row r="34" spans="2:2" x14ac:dyDescent="0.25">
      <c r="B34" s="3" t="s">
        <v>508</v>
      </c>
    </row>
  </sheetData>
  <mergeCells count="10">
    <mergeCell ref="B28:D28"/>
    <mergeCell ref="B29:D29"/>
    <mergeCell ref="B30:D30"/>
    <mergeCell ref="B31:D31"/>
    <mergeCell ref="B32:D32"/>
    <mergeCell ref="C5:E5"/>
    <mergeCell ref="C7:E7"/>
    <mergeCell ref="C9:E9"/>
    <mergeCell ref="B12:E12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T62"/>
  <sheetViews>
    <sheetView showGridLines="0" topLeftCell="A30" workbookViewId="0">
      <selection activeCell="B43" sqref="B4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9" width="9.28515625" style="3"/>
    <col min="10" max="10" width="12.28515625" style="3" customWidth="1"/>
    <col min="11" max="11" width="8.85546875" style="3" customWidth="1"/>
    <col min="12" max="12" width="10.85546875" style="3" customWidth="1"/>
    <col min="13" max="13" width="8.85546875" style="3" customWidth="1"/>
    <col min="14" max="14" width="10.85546875" style="3" customWidth="1"/>
    <col min="15" max="15" width="8.85546875" style="3" customWidth="1"/>
    <col min="16" max="16" width="10.85546875" style="3" customWidth="1"/>
    <col min="17" max="20" width="12.85546875" style="3" customWidth="1"/>
    <col min="21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84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117</v>
      </c>
      <c r="C7" s="221" t="s">
        <v>118</v>
      </c>
      <c r="D7" s="222"/>
      <c r="E7" s="223"/>
    </row>
    <row r="8" spans="1:5" ht="8.1" customHeight="1" x14ac:dyDescent="0.25"/>
    <row r="9" spans="1:5" x14ac:dyDescent="0.25">
      <c r="A9" s="68" t="s">
        <v>108</v>
      </c>
      <c r="B9" s="68"/>
      <c r="C9" s="68"/>
      <c r="D9" s="68"/>
      <c r="E9" s="68"/>
    </row>
    <row r="10" spans="1:5" s="48" customFormat="1" ht="30" customHeight="1" x14ac:dyDescent="0.2">
      <c r="A10" s="95">
        <v>1</v>
      </c>
      <c r="B10" s="230" t="s">
        <v>153</v>
      </c>
      <c r="C10" s="230"/>
      <c r="D10" s="236"/>
      <c r="E10" s="81">
        <v>20</v>
      </c>
    </row>
    <row r="11" spans="1:5" s="48" customFormat="1" ht="30" customHeight="1" x14ac:dyDescent="0.2">
      <c r="A11" s="95">
        <v>2</v>
      </c>
      <c r="B11" s="230" t="s">
        <v>115</v>
      </c>
      <c r="C11" s="230"/>
      <c r="D11" s="236"/>
      <c r="E11" s="81">
        <v>500</v>
      </c>
    </row>
    <row r="12" spans="1:5" s="48" customFormat="1" ht="30" customHeight="1" x14ac:dyDescent="0.2">
      <c r="A12" s="95">
        <v>3</v>
      </c>
      <c r="B12" s="230" t="s">
        <v>119</v>
      </c>
      <c r="C12" s="230"/>
      <c r="D12" s="236"/>
      <c r="E12" s="81">
        <v>15.3</v>
      </c>
    </row>
    <row r="13" spans="1:5" ht="8.1" customHeight="1" x14ac:dyDescent="0.25"/>
    <row r="14" spans="1:5" x14ac:dyDescent="0.25">
      <c r="A14" s="68" t="s">
        <v>89</v>
      </c>
      <c r="B14" s="68"/>
      <c r="C14" s="68"/>
      <c r="D14" s="68"/>
      <c r="E14" s="68"/>
    </row>
    <row r="15" spans="1:5" x14ac:dyDescent="0.25">
      <c r="A15" s="68"/>
      <c r="D15" s="5" t="s">
        <v>109</v>
      </c>
      <c r="E15" s="5" t="s">
        <v>110</v>
      </c>
    </row>
    <row r="16" spans="1:5" x14ac:dyDescent="0.25">
      <c r="A16" s="68">
        <v>4</v>
      </c>
      <c r="B16" s="3" t="s">
        <v>120</v>
      </c>
      <c r="D16" s="99">
        <v>5744</v>
      </c>
      <c r="E16" s="99">
        <v>10092</v>
      </c>
    </row>
    <row r="17" spans="1:5" x14ac:dyDescent="0.25">
      <c r="A17" s="68">
        <v>5</v>
      </c>
      <c r="B17" s="3" t="s">
        <v>111</v>
      </c>
      <c r="D17" s="100">
        <v>10500</v>
      </c>
      <c r="E17" s="100">
        <v>12000</v>
      </c>
    </row>
    <row r="18" spans="1:5" x14ac:dyDescent="0.25">
      <c r="A18" s="68">
        <v>6</v>
      </c>
      <c r="B18" s="3" t="s">
        <v>114</v>
      </c>
      <c r="D18" s="100">
        <v>10540</v>
      </c>
      <c r="E18" s="100">
        <v>11965</v>
      </c>
    </row>
    <row r="19" spans="1:5" ht="3.9" customHeight="1" x14ac:dyDescent="0.25">
      <c r="A19" s="68"/>
      <c r="D19" s="96"/>
      <c r="E19" s="96"/>
    </row>
    <row r="20" spans="1:5" x14ac:dyDescent="0.25">
      <c r="A20" s="68"/>
      <c r="D20" s="98" t="s">
        <v>121</v>
      </c>
      <c r="E20" s="98" t="s">
        <v>122</v>
      </c>
    </row>
    <row r="21" spans="1:5" x14ac:dyDescent="0.25">
      <c r="A21" s="68">
        <v>7</v>
      </c>
      <c r="B21" s="3" t="s">
        <v>123</v>
      </c>
      <c r="D21" s="33">
        <f>(($E$17)/($D$17))^(1/$E$10)-1</f>
        <v>6.6989076082608623E-3</v>
      </c>
      <c r="E21" s="58">
        <f>(1-(1+D21)^(-$E$10))/D21</f>
        <v>18.659758771095401</v>
      </c>
    </row>
    <row r="22" spans="1:5" x14ac:dyDescent="0.25">
      <c r="A22" s="68">
        <v>8</v>
      </c>
      <c r="B22" s="3" t="s">
        <v>124</v>
      </c>
      <c r="D22" s="33">
        <f>(($E$16*$E$17*$E$18)/($D$16*$D$17*$D$18))^(1/$E$10)-1</f>
        <v>4.2056681302522048E-2</v>
      </c>
      <c r="E22" s="58">
        <f>(1-(1+D22)^(-$E$10))/D22</f>
        <v>13.346141699576801</v>
      </c>
    </row>
    <row r="23" spans="1:5" ht="3.9" customHeight="1" x14ac:dyDescent="0.25">
      <c r="A23" s="68"/>
      <c r="D23" s="33"/>
      <c r="E23" s="58"/>
    </row>
    <row r="24" spans="1:5" ht="30" customHeight="1" x14ac:dyDescent="0.25">
      <c r="A24" s="95">
        <v>9</v>
      </c>
      <c r="B24" s="230" t="s">
        <v>451</v>
      </c>
      <c r="C24" s="230"/>
      <c r="D24" s="230"/>
      <c r="E24" s="108">
        <f>E11/E21</f>
        <v>26.795630433042735</v>
      </c>
    </row>
    <row r="25" spans="1:5" ht="30" customHeight="1" x14ac:dyDescent="0.25">
      <c r="A25" s="95">
        <v>10</v>
      </c>
      <c r="B25" s="230" t="s">
        <v>449</v>
      </c>
      <c r="C25" s="230"/>
      <c r="D25" s="230"/>
      <c r="E25" s="109">
        <f>E12*1000000/E22/E24/E18</f>
        <v>3.5756830596542382</v>
      </c>
    </row>
    <row r="26" spans="1:5" ht="8.1" customHeight="1" x14ac:dyDescent="0.25"/>
    <row r="27" spans="1:5" x14ac:dyDescent="0.25">
      <c r="A27" s="68" t="s">
        <v>112</v>
      </c>
      <c r="B27" s="68"/>
      <c r="C27" s="68"/>
      <c r="D27" s="68"/>
      <c r="E27" s="68"/>
    </row>
    <row r="28" spans="1:5" x14ac:dyDescent="0.25">
      <c r="A28" s="68"/>
      <c r="B28" s="66" t="s">
        <v>131</v>
      </c>
      <c r="C28" s="66"/>
      <c r="D28" s="66"/>
      <c r="E28" s="66"/>
    </row>
    <row r="29" spans="1:5" x14ac:dyDescent="0.25">
      <c r="A29" s="68"/>
      <c r="B29" s="3" t="s">
        <v>129</v>
      </c>
      <c r="D29" s="99">
        <v>0.2</v>
      </c>
    </row>
    <row r="30" spans="1:5" x14ac:dyDescent="0.25">
      <c r="A30" s="68"/>
      <c r="B30" s="3" t="s">
        <v>128</v>
      </c>
      <c r="D30" s="99">
        <v>1</v>
      </c>
    </row>
    <row r="31" spans="1:5" x14ac:dyDescent="0.25">
      <c r="A31" s="68"/>
      <c r="B31" s="3" t="s">
        <v>127</v>
      </c>
      <c r="D31" s="99">
        <v>2</v>
      </c>
    </row>
    <row r="32" spans="1:5" ht="3.9" customHeight="1" x14ac:dyDescent="0.25">
      <c r="A32" s="68"/>
      <c r="D32" s="101"/>
    </row>
    <row r="33" spans="1:20" x14ac:dyDescent="0.25">
      <c r="A33" s="68"/>
      <c r="B33" s="66" t="s">
        <v>132</v>
      </c>
      <c r="C33" s="66"/>
      <c r="D33" s="66"/>
      <c r="E33" s="66"/>
    </row>
    <row r="34" spans="1:20" x14ac:dyDescent="0.25">
      <c r="A34" s="68"/>
      <c r="B34" s="3" t="s">
        <v>71</v>
      </c>
      <c r="D34" s="99">
        <v>0.2</v>
      </c>
    </row>
    <row r="35" spans="1:20" x14ac:dyDescent="0.25">
      <c r="A35" s="68"/>
      <c r="B35" s="3" t="s">
        <v>130</v>
      </c>
      <c r="D35" s="99">
        <v>1</v>
      </c>
    </row>
    <row r="36" spans="1:20" x14ac:dyDescent="0.25">
      <c r="A36" s="68"/>
      <c r="B36" s="3" t="s">
        <v>73</v>
      </c>
      <c r="D36" s="99">
        <v>2</v>
      </c>
    </row>
    <row r="37" spans="1:20" ht="3.9" customHeight="1" x14ac:dyDescent="0.25">
      <c r="A37" s="68"/>
      <c r="D37" s="101"/>
    </row>
    <row r="38" spans="1:20" x14ac:dyDescent="0.25">
      <c r="A38" s="68"/>
      <c r="B38" s="66" t="s">
        <v>133</v>
      </c>
      <c r="C38" s="66"/>
      <c r="D38" s="66"/>
      <c r="E38" s="66"/>
    </row>
    <row r="39" spans="1:20" x14ac:dyDescent="0.25">
      <c r="A39" s="68"/>
      <c r="B39" s="3" t="s">
        <v>73</v>
      </c>
      <c r="D39" s="99">
        <v>0.5</v>
      </c>
    </row>
    <row r="40" spans="1:20" x14ac:dyDescent="0.25">
      <c r="A40" s="68"/>
      <c r="B40" s="3" t="s">
        <v>130</v>
      </c>
      <c r="D40" s="99">
        <v>1</v>
      </c>
    </row>
    <row r="41" spans="1:20" x14ac:dyDescent="0.25">
      <c r="A41" s="68"/>
      <c r="B41" s="3" t="s">
        <v>71</v>
      </c>
      <c r="D41" s="99">
        <v>1.5</v>
      </c>
    </row>
    <row r="43" spans="1:20" x14ac:dyDescent="0.25">
      <c r="B43" s="3" t="s">
        <v>510</v>
      </c>
    </row>
    <row r="44" spans="1:20" x14ac:dyDescent="0.25">
      <c r="J44" s="68" t="s">
        <v>159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 x14ac:dyDescent="0.25">
      <c r="Q45" s="5" t="s">
        <v>160</v>
      </c>
      <c r="R45" s="97">
        <f>E24/1000</f>
        <v>2.6795630433042734E-2</v>
      </c>
    </row>
    <row r="46" spans="1:20" s="82" customFormat="1" ht="25.2" x14ac:dyDescent="0.25">
      <c r="J46" s="104" t="s">
        <v>1</v>
      </c>
      <c r="K46" s="235" t="s">
        <v>134</v>
      </c>
      <c r="L46" s="235"/>
      <c r="M46" s="235" t="s">
        <v>113</v>
      </c>
      <c r="N46" s="235"/>
      <c r="O46" s="235" t="s">
        <v>116</v>
      </c>
      <c r="P46" s="235"/>
      <c r="Q46" s="105" t="s">
        <v>93</v>
      </c>
      <c r="R46" s="105" t="s">
        <v>135</v>
      </c>
      <c r="S46" s="105" t="s">
        <v>154</v>
      </c>
      <c r="T46" s="105" t="s">
        <v>155</v>
      </c>
    </row>
    <row r="47" spans="1:20" x14ac:dyDescent="0.25">
      <c r="J47" s="3" t="s">
        <v>1</v>
      </c>
      <c r="K47" s="5" t="s">
        <v>145</v>
      </c>
      <c r="L47" s="71" t="s">
        <v>146</v>
      </c>
      <c r="M47" s="5" t="s">
        <v>147</v>
      </c>
      <c r="N47" s="71" t="s">
        <v>148</v>
      </c>
      <c r="O47" s="5" t="s">
        <v>149</v>
      </c>
      <c r="P47" s="103" t="s">
        <v>150</v>
      </c>
      <c r="Q47" s="102" t="s">
        <v>19</v>
      </c>
      <c r="R47" s="5" t="s">
        <v>151</v>
      </c>
      <c r="S47" s="5" t="s">
        <v>162</v>
      </c>
      <c r="T47" s="5" t="s">
        <v>156</v>
      </c>
    </row>
    <row r="48" spans="1:20" x14ac:dyDescent="0.25">
      <c r="J48" s="66" t="s">
        <v>0</v>
      </c>
      <c r="K48" s="3">
        <v>0.2</v>
      </c>
      <c r="L48" s="3" t="s">
        <v>125</v>
      </c>
      <c r="M48" s="3">
        <v>0.2</v>
      </c>
      <c r="N48" s="3" t="s">
        <v>71</v>
      </c>
      <c r="O48" s="5">
        <v>0.5</v>
      </c>
      <c r="P48" s="3" t="s">
        <v>73</v>
      </c>
      <c r="Q48" s="110">
        <f t="shared" ref="Q48:Q57" si="0">0.0054</f>
        <v>5.4000000000000003E-3</v>
      </c>
      <c r="R48" s="111">
        <f>Allocation[[#This Row],[Matl]]*Allocation[[#This Row],[Fuel]]*Allocation[[#This Row],[Mitn]]*Allocation[Extreme]</f>
        <v>1.0800000000000002E-4</v>
      </c>
      <c r="S48" s="112">
        <f>Allocation[[#This Row],[RelLike]]*$R$62</f>
        <v>3.4397471672712121E-5</v>
      </c>
      <c r="T48" s="113">
        <f>Allocation[[#This Row],[AllocInc]]/COUNT(Allocation[AllocInc])/Allocation[[#This Row],[Extreme]]</f>
        <v>5.3082518013444627E-4</v>
      </c>
    </row>
    <row r="49" spans="10:20" x14ac:dyDescent="0.25">
      <c r="J49" s="66" t="s">
        <v>136</v>
      </c>
      <c r="K49" s="3">
        <v>1</v>
      </c>
      <c r="L49" s="3" t="s">
        <v>126</v>
      </c>
      <c r="M49" s="3">
        <v>1</v>
      </c>
      <c r="N49" s="3" t="s">
        <v>130</v>
      </c>
      <c r="O49" s="5">
        <v>0.5</v>
      </c>
      <c r="P49" s="3" t="s">
        <v>73</v>
      </c>
      <c r="Q49" s="110">
        <f t="shared" si="0"/>
        <v>5.4000000000000003E-3</v>
      </c>
      <c r="R49" s="111">
        <f>Allocation[[#This Row],[Matl]]*Allocation[[#This Row],[Fuel]]*Allocation[[#This Row],[Mitn]]*Allocation[Extreme]</f>
        <v>2.7000000000000001E-3</v>
      </c>
      <c r="S49" s="112">
        <f>Allocation[[#This Row],[RelLike]]*$R$62</f>
        <v>8.599367918178029E-4</v>
      </c>
      <c r="T49" s="113">
        <f>Allocation[[#This Row],[AllocInc]]/COUNT(Allocation[AllocInc])/Allocation[[#This Row],[Extreme]]</f>
        <v>1.3270629503361156E-2</v>
      </c>
    </row>
    <row r="50" spans="10:20" x14ac:dyDescent="0.25">
      <c r="J50" s="66" t="s">
        <v>137</v>
      </c>
      <c r="K50" s="3">
        <v>1</v>
      </c>
      <c r="L50" s="3" t="s">
        <v>126</v>
      </c>
      <c r="M50" s="3">
        <v>2</v>
      </c>
      <c r="N50" s="3" t="s">
        <v>73</v>
      </c>
      <c r="O50" s="5">
        <v>1.5</v>
      </c>
      <c r="P50" s="3" t="s">
        <v>71</v>
      </c>
      <c r="Q50" s="110">
        <f t="shared" si="0"/>
        <v>5.4000000000000003E-3</v>
      </c>
      <c r="R50" s="111">
        <f>Allocation[[#This Row],[Matl]]*Allocation[[#This Row],[Fuel]]*Allocation[[#This Row],[Mitn]]*Allocation[Extreme]</f>
        <v>1.6199999999999999E-2</v>
      </c>
      <c r="S50" s="112">
        <f>Allocation[[#This Row],[RelLike]]*$R$62</f>
        <v>5.1596207509068169E-3</v>
      </c>
      <c r="T50" s="113">
        <f>Allocation[[#This Row],[AllocInc]]/COUNT(Allocation[AllocInc])/Allocation[[#This Row],[Extreme]]</f>
        <v>7.9623777020166916E-2</v>
      </c>
    </row>
    <row r="51" spans="10:20" x14ac:dyDescent="0.25">
      <c r="J51" s="66" t="s">
        <v>138</v>
      </c>
      <c r="K51" s="3">
        <v>2</v>
      </c>
      <c r="L51" s="3" t="s">
        <v>127</v>
      </c>
      <c r="M51" s="3">
        <v>0.2</v>
      </c>
      <c r="N51" s="3" t="s">
        <v>71</v>
      </c>
      <c r="O51" s="5">
        <v>1</v>
      </c>
      <c r="P51" s="3" t="s">
        <v>130</v>
      </c>
      <c r="Q51" s="110">
        <f t="shared" si="0"/>
        <v>5.4000000000000003E-3</v>
      </c>
      <c r="R51" s="111">
        <f>Allocation[[#This Row],[Matl]]*Allocation[[#This Row],[Fuel]]*Allocation[[#This Row],[Mitn]]*Allocation[Extreme]</f>
        <v>2.16E-3</v>
      </c>
      <c r="S51" s="112">
        <f>Allocation[[#This Row],[RelLike]]*$R$62</f>
        <v>6.8794943345424232E-4</v>
      </c>
      <c r="T51" s="113">
        <f>Allocation[[#This Row],[AllocInc]]/COUNT(Allocation[AllocInc])/Allocation[[#This Row],[Extreme]]</f>
        <v>1.0616503602688924E-2</v>
      </c>
    </row>
    <row r="52" spans="10:20" x14ac:dyDescent="0.25">
      <c r="J52" s="66" t="s">
        <v>139</v>
      </c>
      <c r="K52" s="3">
        <v>0.2</v>
      </c>
      <c r="L52" s="3" t="s">
        <v>125</v>
      </c>
      <c r="M52" s="3">
        <v>1</v>
      </c>
      <c r="N52" s="3" t="s">
        <v>130</v>
      </c>
      <c r="O52" s="5">
        <v>1</v>
      </c>
      <c r="P52" s="3" t="s">
        <v>130</v>
      </c>
      <c r="Q52" s="110">
        <f t="shared" si="0"/>
        <v>5.4000000000000003E-3</v>
      </c>
      <c r="R52" s="111">
        <f>Allocation[[#This Row],[Matl]]*Allocation[[#This Row],[Fuel]]*Allocation[[#This Row],[Mitn]]*Allocation[Extreme]</f>
        <v>1.08E-3</v>
      </c>
      <c r="S52" s="112">
        <f>Allocation[[#This Row],[RelLike]]*$R$62</f>
        <v>3.4397471672712116E-4</v>
      </c>
      <c r="T52" s="113">
        <f>Allocation[[#This Row],[AllocInc]]/COUNT(Allocation[AllocInc])/Allocation[[#This Row],[Extreme]]</f>
        <v>5.3082518013444621E-3</v>
      </c>
    </row>
    <row r="53" spans="10:20" x14ac:dyDescent="0.25">
      <c r="J53" s="66" t="s">
        <v>140</v>
      </c>
      <c r="K53" s="3">
        <v>0.2</v>
      </c>
      <c r="L53" s="3" t="s">
        <v>125</v>
      </c>
      <c r="M53" s="3">
        <v>2</v>
      </c>
      <c r="N53" s="3" t="s">
        <v>73</v>
      </c>
      <c r="O53" s="5">
        <v>0.5</v>
      </c>
      <c r="P53" s="3" t="s">
        <v>73</v>
      </c>
      <c r="Q53" s="110">
        <f t="shared" si="0"/>
        <v>5.4000000000000003E-3</v>
      </c>
      <c r="R53" s="111">
        <f>Allocation[[#This Row],[Matl]]*Allocation[[#This Row],[Fuel]]*Allocation[[#This Row],[Mitn]]*Allocation[Extreme]</f>
        <v>1.08E-3</v>
      </c>
      <c r="S53" s="112">
        <f>Allocation[[#This Row],[RelLike]]*$R$62</f>
        <v>3.4397471672712116E-4</v>
      </c>
      <c r="T53" s="113">
        <f>Allocation[[#This Row],[AllocInc]]/COUNT(Allocation[AllocInc])/Allocation[[#This Row],[Extreme]]</f>
        <v>5.3082518013444621E-3</v>
      </c>
    </row>
    <row r="54" spans="10:20" x14ac:dyDescent="0.25">
      <c r="J54" s="66" t="s">
        <v>141</v>
      </c>
      <c r="K54" s="3">
        <v>2</v>
      </c>
      <c r="L54" s="3" t="s">
        <v>127</v>
      </c>
      <c r="M54" s="3">
        <v>1</v>
      </c>
      <c r="N54" s="3" t="s">
        <v>130</v>
      </c>
      <c r="O54" s="5">
        <v>1.5</v>
      </c>
      <c r="P54" s="3" t="s">
        <v>71</v>
      </c>
      <c r="Q54" s="110">
        <f t="shared" si="0"/>
        <v>5.4000000000000003E-3</v>
      </c>
      <c r="R54" s="111">
        <f>Allocation[[#This Row],[Matl]]*Allocation[[#This Row],[Fuel]]*Allocation[[#This Row],[Mitn]]*Allocation[Extreme]</f>
        <v>1.6199999999999999E-2</v>
      </c>
      <c r="S54" s="112">
        <f>Allocation[[#This Row],[RelLike]]*$R$62</f>
        <v>5.1596207509068169E-3</v>
      </c>
      <c r="T54" s="113">
        <f>Allocation[[#This Row],[AllocInc]]/COUNT(Allocation[AllocInc])/Allocation[[#This Row],[Extreme]]</f>
        <v>7.9623777020166916E-2</v>
      </c>
    </row>
    <row r="55" spans="10:20" x14ac:dyDescent="0.25">
      <c r="J55" s="66" t="s">
        <v>142</v>
      </c>
      <c r="K55" s="3">
        <v>1</v>
      </c>
      <c r="L55" s="3" t="s">
        <v>126</v>
      </c>
      <c r="M55" s="3">
        <v>1</v>
      </c>
      <c r="N55" s="3" t="s">
        <v>130</v>
      </c>
      <c r="O55" s="5">
        <v>0.5</v>
      </c>
      <c r="P55" s="3" t="s">
        <v>73</v>
      </c>
      <c r="Q55" s="110">
        <f t="shared" si="0"/>
        <v>5.4000000000000003E-3</v>
      </c>
      <c r="R55" s="111">
        <f>Allocation[[#This Row],[Matl]]*Allocation[[#This Row],[Fuel]]*Allocation[[#This Row],[Mitn]]*Allocation[Extreme]</f>
        <v>2.7000000000000001E-3</v>
      </c>
      <c r="S55" s="112">
        <f>Allocation[[#This Row],[RelLike]]*$R$62</f>
        <v>8.599367918178029E-4</v>
      </c>
      <c r="T55" s="113">
        <f>Allocation[[#This Row],[AllocInc]]/COUNT(Allocation[AllocInc])/Allocation[[#This Row],[Extreme]]</f>
        <v>1.3270629503361156E-2</v>
      </c>
    </row>
    <row r="56" spans="10:20" x14ac:dyDescent="0.25">
      <c r="J56" s="66" t="s">
        <v>143</v>
      </c>
      <c r="K56" s="3">
        <v>0.2</v>
      </c>
      <c r="L56" s="3" t="s">
        <v>125</v>
      </c>
      <c r="M56" s="3">
        <v>0.2</v>
      </c>
      <c r="N56" s="3" t="s">
        <v>71</v>
      </c>
      <c r="O56" s="5">
        <v>1.5</v>
      </c>
      <c r="P56" s="3" t="s">
        <v>71</v>
      </c>
      <c r="Q56" s="110">
        <f t="shared" si="0"/>
        <v>5.4000000000000003E-3</v>
      </c>
      <c r="R56" s="111">
        <f>Allocation[[#This Row],[Matl]]*Allocation[[#This Row],[Fuel]]*Allocation[[#This Row],[Mitn]]*Allocation[Extreme]</f>
        <v>3.2400000000000007E-4</v>
      </c>
      <c r="S56" s="112">
        <f>Allocation[[#This Row],[RelLike]]*$R$62</f>
        <v>1.0319241501813636E-4</v>
      </c>
      <c r="T56" s="113">
        <f>Allocation[[#This Row],[AllocInc]]/COUNT(Allocation[AllocInc])/Allocation[[#This Row],[Extreme]]</f>
        <v>1.5924755404033389E-3</v>
      </c>
    </row>
    <row r="57" spans="10:20" x14ac:dyDescent="0.25">
      <c r="J57" s="66" t="s">
        <v>144</v>
      </c>
      <c r="K57" s="3">
        <v>1</v>
      </c>
      <c r="L57" s="3" t="s">
        <v>126</v>
      </c>
      <c r="M57" s="3">
        <v>0.2</v>
      </c>
      <c r="N57" s="3" t="s">
        <v>71</v>
      </c>
      <c r="O57" s="5">
        <v>1</v>
      </c>
      <c r="P57" s="3" t="s">
        <v>130</v>
      </c>
      <c r="Q57" s="110">
        <f t="shared" si="0"/>
        <v>5.4000000000000003E-3</v>
      </c>
      <c r="R57" s="111">
        <f>Allocation[[#This Row],[Matl]]*Allocation[[#This Row],[Fuel]]*Allocation[[#This Row],[Mitn]]*Allocation[Extreme]</f>
        <v>1.08E-3</v>
      </c>
      <c r="S57" s="112">
        <f>Allocation[[#This Row],[RelLike]]*$R$62</f>
        <v>3.4397471672712116E-4</v>
      </c>
      <c r="T57" s="113">
        <f>Allocation[[#This Row],[AllocInc]]/COUNT(Allocation[AllocInc])/Allocation[[#This Row],[Extreme]]</f>
        <v>5.3082518013444621E-3</v>
      </c>
    </row>
    <row r="58" spans="10:20" x14ac:dyDescent="0.25">
      <c r="J58" s="66" t="s">
        <v>157</v>
      </c>
      <c r="K58" s="3">
        <v>1</v>
      </c>
      <c r="L58" s="3" t="s">
        <v>126</v>
      </c>
      <c r="M58" s="3">
        <v>1</v>
      </c>
      <c r="N58" s="3" t="s">
        <v>130</v>
      </c>
      <c r="O58" s="5">
        <v>1.5</v>
      </c>
      <c r="P58" s="3" t="s">
        <v>71</v>
      </c>
      <c r="Q58" s="110">
        <f>0.0054</f>
        <v>5.4000000000000003E-3</v>
      </c>
      <c r="R58" s="111">
        <f>Allocation[[#This Row],[Matl]]*Allocation[[#This Row],[Fuel]]*Allocation[[#This Row],[Mitn]]*Allocation[Extreme]</f>
        <v>8.0999999999999996E-3</v>
      </c>
      <c r="S58" s="112">
        <f>Allocation[[#This Row],[RelLike]]*$R$62</f>
        <v>2.5798103754534085E-3</v>
      </c>
      <c r="T58" s="113">
        <f>Allocation[[#This Row],[AllocInc]]/COUNT(Allocation[AllocInc])/Allocation[[#This Row],[Extreme]]</f>
        <v>3.9811888510083458E-2</v>
      </c>
    </row>
    <row r="59" spans="10:20" x14ac:dyDescent="0.25">
      <c r="J59" s="66" t="s">
        <v>158</v>
      </c>
      <c r="K59" s="3">
        <v>2</v>
      </c>
      <c r="L59" s="3" t="s">
        <v>127</v>
      </c>
      <c r="M59" s="3">
        <v>2</v>
      </c>
      <c r="N59" s="3" t="s">
        <v>73</v>
      </c>
      <c r="O59" s="5">
        <v>1.5</v>
      </c>
      <c r="P59" s="3" t="s">
        <v>71</v>
      </c>
      <c r="Q59" s="110">
        <f>0.0054</f>
        <v>5.4000000000000003E-3</v>
      </c>
      <c r="R59" s="111">
        <f>Allocation[[#This Row],[Matl]]*Allocation[[#This Row],[Fuel]]*Allocation[[#This Row],[Mitn]]*Allocation[Extreme]</f>
        <v>3.2399999999999998E-2</v>
      </c>
      <c r="S59" s="112">
        <f>Allocation[[#This Row],[RelLike]]*$R$62</f>
        <v>1.0319241501813634E-2</v>
      </c>
      <c r="T59" s="113">
        <f>Allocation[[#This Row],[AllocInc]]/COUNT(Allocation[AllocInc])/Allocation[[#This Row],[Extreme]]</f>
        <v>0.15924755404033383</v>
      </c>
    </row>
    <row r="60" spans="10:20" ht="3.9" customHeight="1" x14ac:dyDescent="0.25"/>
    <row r="61" spans="10:20" x14ac:dyDescent="0.25">
      <c r="J61" s="66" t="s">
        <v>152</v>
      </c>
      <c r="K61" s="66"/>
      <c r="L61" s="66"/>
      <c r="M61" s="66"/>
      <c r="N61" s="66"/>
      <c r="O61" s="66"/>
      <c r="P61" s="66"/>
      <c r="Q61" s="66"/>
      <c r="R61" s="111">
        <f>SUM(Allocation[RelLike])</f>
        <v>8.4131999999999998E-2</v>
      </c>
      <c r="S61" s="112">
        <f>SUM(Allocation[AllocInc])</f>
        <v>2.6795630433042734E-2</v>
      </c>
      <c r="T61" s="106"/>
    </row>
    <row r="62" spans="10:20" x14ac:dyDescent="0.25">
      <c r="J62" s="66" t="s">
        <v>161</v>
      </c>
      <c r="K62" s="66"/>
      <c r="L62" s="66"/>
      <c r="M62" s="66"/>
      <c r="N62" s="66"/>
      <c r="O62" s="66"/>
      <c r="P62" s="66"/>
      <c r="Q62" s="66"/>
      <c r="R62" s="107">
        <f>R45/R61</f>
        <v>0.31849510808066772</v>
      </c>
      <c r="S62" s="66"/>
      <c r="T62" s="66"/>
    </row>
  </sheetData>
  <mergeCells count="10">
    <mergeCell ref="C5:E5"/>
    <mergeCell ref="C7:E7"/>
    <mergeCell ref="K46:L46"/>
    <mergeCell ref="M46:N46"/>
    <mergeCell ref="O46:P46"/>
    <mergeCell ref="B10:D10"/>
    <mergeCell ref="B11:D11"/>
    <mergeCell ref="B12:D12"/>
    <mergeCell ref="B24:D24"/>
    <mergeCell ref="B25:D25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E33"/>
  <sheetViews>
    <sheetView showGridLines="0" topLeftCell="A20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163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164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s="48" customFormat="1" ht="30" customHeight="1" x14ac:dyDescent="0.2">
      <c r="A26" s="186">
        <v>11</v>
      </c>
      <c r="B26" s="228" t="s">
        <v>91</v>
      </c>
      <c r="C26" s="228"/>
      <c r="D26" s="229"/>
      <c r="E26" s="81">
        <v>10</v>
      </c>
    </row>
    <row r="27" spans="1:5" ht="30" customHeight="1" x14ac:dyDescent="0.25">
      <c r="A27" s="186">
        <v>12</v>
      </c>
      <c r="B27" s="230" t="s">
        <v>101</v>
      </c>
      <c r="C27" s="230"/>
      <c r="D27" s="230"/>
      <c r="E27" s="81">
        <v>5</v>
      </c>
    </row>
    <row r="28" spans="1:5" s="48" customFormat="1" ht="30" customHeight="1" x14ac:dyDescent="0.2">
      <c r="A28" s="186">
        <v>13</v>
      </c>
      <c r="B28" s="231" t="s">
        <v>102</v>
      </c>
      <c r="C28" s="231"/>
      <c r="D28" s="232"/>
      <c r="E28" s="85">
        <v>10</v>
      </c>
    </row>
    <row r="29" spans="1:5" ht="30" customHeight="1" x14ac:dyDescent="0.25">
      <c r="A29" s="186">
        <v>14</v>
      </c>
      <c r="B29" s="230" t="s">
        <v>165</v>
      </c>
      <c r="C29" s="230"/>
      <c r="D29" s="233"/>
      <c r="E29" s="88">
        <v>1120</v>
      </c>
    </row>
    <row r="30" spans="1:5" ht="30" customHeight="1" x14ac:dyDescent="0.25">
      <c r="A30" s="186">
        <v>15</v>
      </c>
      <c r="B30" s="234" t="s">
        <v>166</v>
      </c>
      <c r="C30" s="234"/>
      <c r="D30" s="234"/>
      <c r="E30" s="87">
        <v>5.4000000000000003E-3</v>
      </c>
    </row>
    <row r="31" spans="1:5" ht="30" customHeight="1" x14ac:dyDescent="0.25">
      <c r="A31" s="186">
        <v>16</v>
      </c>
      <c r="B31" s="230" t="s">
        <v>107</v>
      </c>
      <c r="C31" s="230"/>
      <c r="D31" s="230"/>
      <c r="E31" s="86">
        <f>E28/E29/E26/E30</f>
        <v>0.16534391534391532</v>
      </c>
    </row>
    <row r="33" spans="2:2" x14ac:dyDescent="0.25">
      <c r="B33" s="3" t="s">
        <v>511</v>
      </c>
    </row>
  </sheetData>
  <mergeCells count="10">
    <mergeCell ref="B28:D28"/>
    <mergeCell ref="B29:D29"/>
    <mergeCell ref="B30:D30"/>
    <mergeCell ref="B31:D31"/>
    <mergeCell ref="C5:E5"/>
    <mergeCell ref="C7:E7"/>
    <mergeCell ref="C9:E9"/>
    <mergeCell ref="B12:E12"/>
    <mergeCell ref="B26:D26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E33"/>
  <sheetViews>
    <sheetView showGridLines="0" topLeftCell="A22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167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168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s="48" customFormat="1" ht="30" customHeight="1" x14ac:dyDescent="0.2">
      <c r="A26" s="186">
        <v>11</v>
      </c>
      <c r="B26" s="228" t="s">
        <v>91</v>
      </c>
      <c r="C26" s="228"/>
      <c r="D26" s="229"/>
      <c r="E26" s="81">
        <v>10</v>
      </c>
    </row>
    <row r="27" spans="1:5" ht="30" customHeight="1" x14ac:dyDescent="0.25">
      <c r="A27" s="186">
        <v>12</v>
      </c>
      <c r="B27" s="230" t="s">
        <v>101</v>
      </c>
      <c r="C27" s="230"/>
      <c r="D27" s="230"/>
      <c r="E27" s="81">
        <v>5</v>
      </c>
    </row>
    <row r="28" spans="1:5" s="48" customFormat="1" ht="30" customHeight="1" x14ac:dyDescent="0.2">
      <c r="A28" s="186">
        <v>13</v>
      </c>
      <c r="B28" s="231" t="s">
        <v>102</v>
      </c>
      <c r="C28" s="231"/>
      <c r="D28" s="232"/>
      <c r="E28" s="85">
        <v>10</v>
      </c>
    </row>
    <row r="29" spans="1:5" ht="30" customHeight="1" x14ac:dyDescent="0.25">
      <c r="A29" s="186">
        <v>14</v>
      </c>
      <c r="B29" s="230" t="s">
        <v>169</v>
      </c>
      <c r="C29" s="230"/>
      <c r="D29" s="233"/>
      <c r="E29" s="88">
        <v>1120</v>
      </c>
    </row>
    <row r="30" spans="1:5" ht="30" customHeight="1" x14ac:dyDescent="0.25">
      <c r="A30" s="186">
        <v>15</v>
      </c>
      <c r="B30" s="234" t="s">
        <v>170</v>
      </c>
      <c r="C30" s="234"/>
      <c r="D30" s="234"/>
      <c r="E30" s="87">
        <v>5.4000000000000003E-3</v>
      </c>
    </row>
    <row r="31" spans="1:5" ht="30" customHeight="1" x14ac:dyDescent="0.25">
      <c r="A31" s="186">
        <v>16</v>
      </c>
      <c r="B31" s="230" t="s">
        <v>107</v>
      </c>
      <c r="C31" s="230"/>
      <c r="D31" s="230"/>
      <c r="E31" s="86">
        <f>E28/E29/E26/E30</f>
        <v>0.16534391534391532</v>
      </c>
    </row>
    <row r="33" spans="2:2" x14ac:dyDescent="0.25">
      <c r="B33" s="3" t="s">
        <v>511</v>
      </c>
    </row>
  </sheetData>
  <mergeCells count="10">
    <mergeCell ref="B28:D28"/>
    <mergeCell ref="B29:D29"/>
    <mergeCell ref="B30:D30"/>
    <mergeCell ref="B31:D31"/>
    <mergeCell ref="C5:E5"/>
    <mergeCell ref="C7:E7"/>
    <mergeCell ref="C9:E9"/>
    <mergeCell ref="B12:E12"/>
    <mergeCell ref="B26:D26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4:E33"/>
  <sheetViews>
    <sheetView showGridLines="0" topLeftCell="A22" workbookViewId="0">
      <selection activeCell="B33" sqref="B33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171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92</v>
      </c>
      <c r="C7" s="221">
        <v>2</v>
      </c>
      <c r="D7" s="222"/>
      <c r="E7" s="223"/>
    </row>
    <row r="8" spans="1:5" ht="3.9" customHeight="1" x14ac:dyDescent="0.25">
      <c r="A8" s="67"/>
      <c r="B8" s="6"/>
    </row>
    <row r="9" spans="1:5" x14ac:dyDescent="0.25">
      <c r="A9" s="67"/>
      <c r="B9" s="6" t="s">
        <v>85</v>
      </c>
      <c r="C9" s="221" t="s">
        <v>104</v>
      </c>
      <c r="D9" s="222"/>
      <c r="E9" s="223"/>
    </row>
    <row r="10" spans="1:5" ht="8.1" customHeight="1" x14ac:dyDescent="0.25"/>
    <row r="11" spans="1:5" x14ac:dyDescent="0.25">
      <c r="A11" s="68" t="s">
        <v>86</v>
      </c>
      <c r="B11" s="68"/>
      <c r="C11" s="68"/>
      <c r="D11" s="68"/>
      <c r="E11" s="68"/>
    </row>
    <row r="12" spans="1:5" ht="44.25" customHeight="1" x14ac:dyDescent="0.25">
      <c r="A12" s="68"/>
      <c r="B12" s="227" t="s">
        <v>172</v>
      </c>
      <c r="C12" s="227"/>
      <c r="D12" s="227"/>
      <c r="E12" s="227"/>
    </row>
    <row r="13" spans="1:5" ht="25.2" x14ac:dyDescent="0.25">
      <c r="A13" s="83" t="s">
        <v>42</v>
      </c>
      <c r="B13" s="89" t="s">
        <v>87</v>
      </c>
      <c r="C13" s="84" t="s">
        <v>90</v>
      </c>
      <c r="D13" s="93" t="s">
        <v>97</v>
      </c>
      <c r="E13" s="48" t="s">
        <v>88</v>
      </c>
    </row>
    <row r="14" spans="1:5" x14ac:dyDescent="0.25">
      <c r="A14" s="68">
        <v>1</v>
      </c>
      <c r="B14" s="90" t="s">
        <v>0</v>
      </c>
      <c r="C14" s="71">
        <v>2014</v>
      </c>
      <c r="D14" s="94">
        <v>30</v>
      </c>
      <c r="E14" s="3" t="s">
        <v>98</v>
      </c>
    </row>
    <row r="15" spans="1:5" x14ac:dyDescent="0.25">
      <c r="A15" s="68">
        <v>2</v>
      </c>
      <c r="B15" s="91">
        <v>157892</v>
      </c>
      <c r="C15" s="71">
        <v>2012</v>
      </c>
      <c r="D15" s="94">
        <v>1</v>
      </c>
      <c r="E15" s="3" t="s">
        <v>99</v>
      </c>
    </row>
    <row r="16" spans="1:5" x14ac:dyDescent="0.25">
      <c r="A16" s="68">
        <v>3</v>
      </c>
      <c r="B16" s="91" t="s">
        <v>94</v>
      </c>
      <c r="C16" s="71">
        <v>2009</v>
      </c>
      <c r="D16" s="94">
        <v>45</v>
      </c>
      <c r="E16" s="3" t="s">
        <v>98</v>
      </c>
    </row>
    <row r="17" spans="1:5" x14ac:dyDescent="0.25">
      <c r="A17" s="68">
        <v>4</v>
      </c>
      <c r="B17" s="91" t="s">
        <v>95</v>
      </c>
      <c r="C17" s="71">
        <v>2009</v>
      </c>
      <c r="D17" s="94">
        <v>14</v>
      </c>
      <c r="E17" s="3" t="s">
        <v>100</v>
      </c>
    </row>
    <row r="18" spans="1:5" x14ac:dyDescent="0.25">
      <c r="A18" s="68">
        <v>5</v>
      </c>
      <c r="B18" s="91" t="s">
        <v>96</v>
      </c>
      <c r="C18" s="71">
        <v>2007</v>
      </c>
      <c r="D18" s="94">
        <v>2</v>
      </c>
      <c r="E18" s="3" t="s">
        <v>99</v>
      </c>
    </row>
    <row r="19" spans="1:5" x14ac:dyDescent="0.25">
      <c r="A19" s="68">
        <v>6</v>
      </c>
      <c r="B19" s="92"/>
      <c r="D19" s="94"/>
    </row>
    <row r="20" spans="1:5" x14ac:dyDescent="0.25">
      <c r="A20" s="68">
        <v>7</v>
      </c>
      <c r="B20" s="92"/>
      <c r="D20" s="94"/>
    </row>
    <row r="21" spans="1:5" x14ac:dyDescent="0.25">
      <c r="A21" s="68">
        <v>8</v>
      </c>
      <c r="B21" s="92"/>
      <c r="D21" s="94"/>
    </row>
    <row r="22" spans="1:5" x14ac:dyDescent="0.25">
      <c r="A22" s="68">
        <v>9</v>
      </c>
      <c r="B22" s="92"/>
      <c r="D22" s="94"/>
    </row>
    <row r="23" spans="1:5" x14ac:dyDescent="0.25">
      <c r="A23" s="68">
        <v>10</v>
      </c>
      <c r="B23" s="92"/>
      <c r="D23" s="94"/>
    </row>
    <row r="24" spans="1:5" ht="8.1" customHeight="1" x14ac:dyDescent="0.25"/>
    <row r="25" spans="1:5" x14ac:dyDescent="0.25">
      <c r="A25" s="185" t="s">
        <v>89</v>
      </c>
      <c r="B25" s="68"/>
      <c r="C25" s="68"/>
      <c r="D25" s="68"/>
      <c r="E25" s="68"/>
    </row>
    <row r="26" spans="1:5" s="48" customFormat="1" ht="30" customHeight="1" x14ac:dyDescent="0.2">
      <c r="A26" s="186">
        <v>11</v>
      </c>
      <c r="B26" s="228" t="s">
        <v>91</v>
      </c>
      <c r="C26" s="228"/>
      <c r="D26" s="229"/>
      <c r="E26" s="81">
        <v>10</v>
      </c>
    </row>
    <row r="27" spans="1:5" ht="30" customHeight="1" x14ac:dyDescent="0.25">
      <c r="A27" s="186">
        <v>12</v>
      </c>
      <c r="B27" s="230" t="s">
        <v>101</v>
      </c>
      <c r="C27" s="230"/>
      <c r="D27" s="230"/>
      <c r="E27" s="81">
        <v>5</v>
      </c>
    </row>
    <row r="28" spans="1:5" s="48" customFormat="1" ht="30" customHeight="1" x14ac:dyDescent="0.2">
      <c r="A28" s="186">
        <v>13</v>
      </c>
      <c r="B28" s="231" t="s">
        <v>102</v>
      </c>
      <c r="C28" s="231"/>
      <c r="D28" s="232"/>
      <c r="E28" s="85">
        <v>10</v>
      </c>
    </row>
    <row r="29" spans="1:5" ht="30" customHeight="1" x14ac:dyDescent="0.25">
      <c r="A29" s="186">
        <v>14</v>
      </c>
      <c r="B29" s="230" t="s">
        <v>173</v>
      </c>
      <c r="C29" s="230"/>
      <c r="D29" s="233"/>
      <c r="E29" s="88">
        <v>1120</v>
      </c>
    </row>
    <row r="30" spans="1:5" ht="30" customHeight="1" x14ac:dyDescent="0.25">
      <c r="A30" s="186">
        <v>15</v>
      </c>
      <c r="B30" s="234" t="s">
        <v>174</v>
      </c>
      <c r="C30" s="234"/>
      <c r="D30" s="234"/>
      <c r="E30" s="87">
        <v>5.4000000000000003E-3</v>
      </c>
    </row>
    <row r="31" spans="1:5" ht="30" customHeight="1" x14ac:dyDescent="0.25">
      <c r="A31" s="186">
        <v>16</v>
      </c>
      <c r="B31" s="230" t="s">
        <v>107</v>
      </c>
      <c r="C31" s="230"/>
      <c r="D31" s="230"/>
      <c r="E31" s="86">
        <f>E28/E29/E26/E30</f>
        <v>0.16534391534391532</v>
      </c>
    </row>
    <row r="33" spans="2:2" x14ac:dyDescent="0.25">
      <c r="B33" s="3" t="s">
        <v>511</v>
      </c>
    </row>
  </sheetData>
  <mergeCells count="10">
    <mergeCell ref="B28:D28"/>
    <mergeCell ref="B29:D29"/>
    <mergeCell ref="B30:D30"/>
    <mergeCell ref="B31:D31"/>
    <mergeCell ref="C5:E5"/>
    <mergeCell ref="C7:E7"/>
    <mergeCell ref="C9:E9"/>
    <mergeCell ref="B12:E12"/>
    <mergeCell ref="B26:D26"/>
    <mergeCell ref="B27:D27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4:E40"/>
  <sheetViews>
    <sheetView showGridLines="0" topLeftCell="A26" workbookViewId="0">
      <selection activeCell="B40" sqref="B40"/>
    </sheetView>
  </sheetViews>
  <sheetFormatPr defaultColWidth="9.28515625" defaultRowHeight="12.6" x14ac:dyDescent="0.25"/>
  <cols>
    <col min="1" max="1" width="4.85546875" style="3" customWidth="1"/>
    <col min="2" max="2" width="15.85546875" style="3" customWidth="1"/>
    <col min="3" max="5" width="12.85546875" style="3" customWidth="1"/>
    <col min="6" max="9" width="9.28515625" style="3"/>
    <col min="10" max="10" width="12.28515625" style="3" customWidth="1"/>
    <col min="11" max="11" width="8.85546875" style="3" customWidth="1"/>
    <col min="12" max="12" width="10.85546875" style="3" customWidth="1"/>
    <col min="13" max="13" width="8.85546875" style="3" customWidth="1"/>
    <col min="14" max="14" width="10.85546875" style="3" customWidth="1"/>
    <col min="15" max="15" width="8.85546875" style="3" customWidth="1"/>
    <col min="16" max="16" width="10.85546875" style="3" customWidth="1"/>
    <col min="17" max="20" width="12.85546875" style="3" customWidth="1"/>
    <col min="21" max="16384" width="9.28515625" style="3"/>
  </cols>
  <sheetData>
    <row r="4" spans="1:5" x14ac:dyDescent="0.25">
      <c r="A4" s="67"/>
    </row>
    <row r="5" spans="1:5" x14ac:dyDescent="0.25">
      <c r="A5" s="67"/>
      <c r="B5" s="4" t="s">
        <v>66</v>
      </c>
      <c r="C5" s="215" t="s">
        <v>175</v>
      </c>
      <c r="D5" s="216"/>
      <c r="E5" s="217"/>
    </row>
    <row r="6" spans="1:5" ht="3.9" customHeight="1" x14ac:dyDescent="0.25">
      <c r="A6" s="67"/>
      <c r="B6" s="6"/>
      <c r="C6" s="7"/>
    </row>
    <row r="7" spans="1:5" x14ac:dyDescent="0.25">
      <c r="A7" s="67"/>
      <c r="B7" s="6" t="s">
        <v>117</v>
      </c>
      <c r="C7" s="221" t="s">
        <v>118</v>
      </c>
      <c r="D7" s="222"/>
      <c r="E7" s="223"/>
    </row>
    <row r="8" spans="1:5" ht="8.1" customHeight="1" x14ac:dyDescent="0.25"/>
    <row r="9" spans="1:5" x14ac:dyDescent="0.25">
      <c r="A9" s="68" t="s">
        <v>108</v>
      </c>
      <c r="B9" s="68"/>
      <c r="C9" s="68"/>
      <c r="D9" s="68"/>
      <c r="E9" s="68"/>
    </row>
    <row r="10" spans="1:5" s="48" customFormat="1" ht="30" customHeight="1" x14ac:dyDescent="0.2">
      <c r="A10" s="95">
        <v>1</v>
      </c>
      <c r="B10" s="230" t="s">
        <v>153</v>
      </c>
      <c r="C10" s="230"/>
      <c r="D10" s="236"/>
      <c r="E10" s="81">
        <v>20</v>
      </c>
    </row>
    <row r="11" spans="1:5" s="48" customFormat="1" ht="30" customHeight="1" x14ac:dyDescent="0.2">
      <c r="A11" s="95">
        <v>2</v>
      </c>
      <c r="B11" s="230" t="s">
        <v>115</v>
      </c>
      <c r="C11" s="230"/>
      <c r="D11" s="236"/>
      <c r="E11" s="81">
        <v>500</v>
      </c>
    </row>
    <row r="12" spans="1:5" s="48" customFormat="1" ht="30" customHeight="1" x14ac:dyDescent="0.2">
      <c r="A12" s="95">
        <v>3</v>
      </c>
      <c r="B12" s="230" t="s">
        <v>119</v>
      </c>
      <c r="C12" s="230"/>
      <c r="D12" s="236"/>
      <c r="E12" s="81">
        <v>15.3</v>
      </c>
    </row>
    <row r="13" spans="1:5" ht="8.1" customHeight="1" x14ac:dyDescent="0.25"/>
    <row r="14" spans="1:5" x14ac:dyDescent="0.25">
      <c r="A14" s="68" t="s">
        <v>89</v>
      </c>
      <c r="B14" s="68"/>
      <c r="C14" s="68"/>
      <c r="D14" s="68"/>
      <c r="E14" s="68"/>
    </row>
    <row r="15" spans="1:5" x14ac:dyDescent="0.25">
      <c r="A15" s="68"/>
      <c r="D15" s="5" t="s">
        <v>109</v>
      </c>
      <c r="E15" s="5" t="s">
        <v>110</v>
      </c>
    </row>
    <row r="16" spans="1:5" x14ac:dyDescent="0.25">
      <c r="A16" s="68">
        <v>4</v>
      </c>
      <c r="B16" s="3" t="s">
        <v>120</v>
      </c>
      <c r="D16" s="99">
        <v>5744</v>
      </c>
      <c r="E16" s="99">
        <v>10092</v>
      </c>
    </row>
    <row r="17" spans="1:5" x14ac:dyDescent="0.25">
      <c r="A17" s="68">
        <v>5</v>
      </c>
      <c r="B17" s="3" t="s">
        <v>111</v>
      </c>
      <c r="D17" s="100">
        <v>10500</v>
      </c>
      <c r="E17" s="100">
        <v>12000</v>
      </c>
    </row>
    <row r="18" spans="1:5" x14ac:dyDescent="0.25">
      <c r="A18" s="68">
        <v>6</v>
      </c>
      <c r="B18" s="3" t="s">
        <v>114</v>
      </c>
      <c r="D18" s="100">
        <v>10540</v>
      </c>
      <c r="E18" s="100">
        <v>11965</v>
      </c>
    </row>
    <row r="19" spans="1:5" ht="3.9" customHeight="1" x14ac:dyDescent="0.25">
      <c r="A19" s="68"/>
      <c r="D19" s="96"/>
      <c r="E19" s="96"/>
    </row>
    <row r="20" spans="1:5" x14ac:dyDescent="0.25">
      <c r="A20" s="68"/>
      <c r="D20" s="98" t="s">
        <v>121</v>
      </c>
      <c r="E20" s="98" t="s">
        <v>122</v>
      </c>
    </row>
    <row r="21" spans="1:5" x14ac:dyDescent="0.25">
      <c r="A21" s="68">
        <v>7</v>
      </c>
      <c r="B21" s="3" t="s">
        <v>123</v>
      </c>
      <c r="D21" s="33">
        <f>(($E$17)/($D$17))^(1/$E$10)-1</f>
        <v>6.6989076082608623E-3</v>
      </c>
      <c r="E21" s="58">
        <f>(1-(1+D21)^(-$E$10))/D21</f>
        <v>18.659758771095401</v>
      </c>
    </row>
    <row r="22" spans="1:5" x14ac:dyDescent="0.25">
      <c r="A22" s="68">
        <v>8</v>
      </c>
      <c r="B22" s="3" t="s">
        <v>124</v>
      </c>
      <c r="D22" s="33">
        <f>(($E$16*$E$17*$E$18)/($D$16*$D$17*$D$18))^(1/$E$10)-1</f>
        <v>4.2056681302522048E-2</v>
      </c>
      <c r="E22" s="58">
        <f>(1-(1+D22)^(-$E$10))/D22</f>
        <v>13.346141699576801</v>
      </c>
    </row>
    <row r="23" spans="1:5" ht="3.9" customHeight="1" x14ac:dyDescent="0.25">
      <c r="A23" s="68"/>
      <c r="D23" s="33"/>
      <c r="E23" s="58"/>
    </row>
    <row r="24" spans="1:5" ht="30" customHeight="1" x14ac:dyDescent="0.25">
      <c r="A24" s="95">
        <v>9</v>
      </c>
      <c r="B24" s="230" t="s">
        <v>450</v>
      </c>
      <c r="C24" s="230"/>
      <c r="D24" s="230"/>
      <c r="E24" s="108">
        <f>E11/E21</f>
        <v>26.795630433042735</v>
      </c>
    </row>
    <row r="25" spans="1:5" ht="30" customHeight="1" x14ac:dyDescent="0.25">
      <c r="A25" s="95">
        <v>10</v>
      </c>
      <c r="B25" s="230" t="s">
        <v>452</v>
      </c>
      <c r="C25" s="230"/>
      <c r="D25" s="230"/>
      <c r="E25" s="109">
        <f>E12*1000000/E22/E24/E18</f>
        <v>3.5756830596542382</v>
      </c>
    </row>
    <row r="26" spans="1:5" ht="8.1" customHeight="1" x14ac:dyDescent="0.25"/>
    <row r="27" spans="1:5" x14ac:dyDescent="0.25">
      <c r="A27" s="68" t="s">
        <v>112</v>
      </c>
      <c r="B27" s="68"/>
      <c r="C27" s="68"/>
      <c r="D27" s="68"/>
      <c r="E27" s="68"/>
    </row>
    <row r="28" spans="1:5" x14ac:dyDescent="0.25">
      <c r="A28" s="68"/>
      <c r="B28" s="66" t="s">
        <v>179</v>
      </c>
      <c r="C28" s="66"/>
      <c r="D28" s="66"/>
      <c r="E28" s="66"/>
    </row>
    <row r="29" spans="1:5" x14ac:dyDescent="0.25">
      <c r="A29" s="68"/>
      <c r="B29" s="3" t="s">
        <v>176</v>
      </c>
      <c r="E29" s="99">
        <v>0.1</v>
      </c>
    </row>
    <row r="30" spans="1:5" x14ac:dyDescent="0.25">
      <c r="A30" s="68"/>
      <c r="B30" s="3" t="s">
        <v>177</v>
      </c>
      <c r="E30" s="99">
        <v>0.3</v>
      </c>
    </row>
    <row r="31" spans="1:5" x14ac:dyDescent="0.25">
      <c r="A31" s="68"/>
      <c r="B31" s="3" t="s">
        <v>178</v>
      </c>
      <c r="E31" s="99">
        <v>0.5</v>
      </c>
    </row>
    <row r="32" spans="1:5" x14ac:dyDescent="0.25">
      <c r="A32" s="68"/>
      <c r="B32" s="3" t="s">
        <v>180</v>
      </c>
      <c r="E32" s="99">
        <v>0.8</v>
      </c>
    </row>
    <row r="33" spans="1:5" x14ac:dyDescent="0.25">
      <c r="A33" s="68"/>
      <c r="B33" s="3" t="s">
        <v>181</v>
      </c>
      <c r="E33" s="99">
        <v>0.5</v>
      </c>
    </row>
    <row r="34" spans="1:5" ht="3.9" customHeight="1" x14ac:dyDescent="0.25">
      <c r="A34" s="68"/>
      <c r="D34" s="101"/>
    </row>
    <row r="35" spans="1:5" x14ac:dyDescent="0.25">
      <c r="A35" s="68"/>
      <c r="B35" s="66" t="s">
        <v>133</v>
      </c>
      <c r="C35" s="66"/>
      <c r="D35" s="66"/>
      <c r="E35" s="66"/>
    </row>
    <row r="36" spans="1:5" x14ac:dyDescent="0.25">
      <c r="A36" s="68"/>
      <c r="B36" s="3" t="s">
        <v>73</v>
      </c>
      <c r="E36" s="99">
        <v>0.3</v>
      </c>
    </row>
    <row r="37" spans="1:5" x14ac:dyDescent="0.25">
      <c r="A37" s="68"/>
      <c r="B37" s="3" t="s">
        <v>130</v>
      </c>
      <c r="E37" s="99">
        <v>0.5</v>
      </c>
    </row>
    <row r="38" spans="1:5" x14ac:dyDescent="0.25">
      <c r="A38" s="68"/>
      <c r="B38" s="3" t="s">
        <v>71</v>
      </c>
      <c r="E38" s="99">
        <v>1</v>
      </c>
    </row>
    <row r="40" spans="1:5" x14ac:dyDescent="0.25">
      <c r="B40" s="3" t="s">
        <v>511</v>
      </c>
    </row>
  </sheetData>
  <mergeCells count="7">
    <mergeCell ref="B25:D25"/>
    <mergeCell ref="C5:E5"/>
    <mergeCell ref="C7:E7"/>
    <mergeCell ref="B10:D10"/>
    <mergeCell ref="B11:D11"/>
    <mergeCell ref="B12:D12"/>
    <mergeCell ref="B24:D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22</vt:i4>
      </vt:variant>
    </vt:vector>
  </HeadingPairs>
  <TitlesOfParts>
    <vt:vector size="48" baseType="lpstr">
      <vt:lpstr>Parameters</vt:lpstr>
      <vt:lpstr>Project</vt:lpstr>
      <vt:lpstr>Assessment</vt:lpstr>
      <vt:lpstr>Polling</vt:lpstr>
      <vt:lpstr>Allocation</vt:lpstr>
      <vt:lpstr>Landslide</vt:lpstr>
      <vt:lpstr>Surge</vt:lpstr>
      <vt:lpstr>Wind</vt:lpstr>
      <vt:lpstr>Flood</vt:lpstr>
      <vt:lpstr>Scour1</vt:lpstr>
      <vt:lpstr>Scour2</vt:lpstr>
      <vt:lpstr>Wildfire</vt:lpstr>
      <vt:lpstr>Temperature</vt:lpstr>
      <vt:lpstr>Permafrost</vt:lpstr>
      <vt:lpstr>Overload</vt:lpstr>
      <vt:lpstr>Overheight</vt:lpstr>
      <vt:lpstr>Vehicle</vt:lpstr>
      <vt:lpstr>Vessel</vt:lpstr>
      <vt:lpstr>Deterioration</vt:lpstr>
      <vt:lpstr>Cost</vt:lpstr>
      <vt:lpstr>Fatigue</vt:lpstr>
      <vt:lpstr>Safety</vt:lpstr>
      <vt:lpstr>Mobility</vt:lpstr>
      <vt:lpstr>Environ</vt:lpstr>
      <vt:lpstr>Earthquake</vt:lpstr>
      <vt:lpstr>Sheet1</vt:lpstr>
      <vt:lpstr>ADTOn</vt:lpstr>
      <vt:lpstr>ADTUnder</vt:lpstr>
      <vt:lpstr>BridgeType</vt:lpstr>
      <vt:lpstr>CritVulnerability</vt:lpstr>
      <vt:lpstr>CritWeight</vt:lpstr>
      <vt:lpstr>DeckArea</vt:lpstr>
      <vt:lpstr>DetourOn</vt:lpstr>
      <vt:lpstr>DetourUnder</vt:lpstr>
      <vt:lpstr>DetSpeedOn</vt:lpstr>
      <vt:lpstr>DetSpeedUnder</vt:lpstr>
      <vt:lpstr>LengthOn</vt:lpstr>
      <vt:lpstr>LengthUnder</vt:lpstr>
      <vt:lpstr>MaxURC</vt:lpstr>
      <vt:lpstr>ProgCost</vt:lpstr>
      <vt:lpstr>SocialCost</vt:lpstr>
      <vt:lpstr>SpeedOn</vt:lpstr>
      <vt:lpstr>SpeedUnder</vt:lpstr>
      <vt:lpstr>StrucWeight</vt:lpstr>
      <vt:lpstr>SumProjVuln</vt:lpstr>
      <vt:lpstr>TrucksOn</vt:lpstr>
      <vt:lpstr>TrucksUnder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2016-09-08T18:16:47Z</dcterms:created>
  <dcterms:modified xsi:type="dcterms:W3CDTF">2016-09-27T16:58:35Z</dcterms:modified>
</cp:coreProperties>
</file>